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nmo.sharepoint.com/sites/SBUF/Shared Documents/General/Projekt/2023/14277/"/>
    </mc:Choice>
  </mc:AlternateContent>
  <xr:revisionPtr revIDLastSave="0" documentId="8_{6FC35D61-43BA-4FD2-A269-B6A200A518A6}" xr6:coauthVersionLast="47" xr6:coauthVersionMax="47" xr10:uidLastSave="{00000000-0000-0000-0000-000000000000}"/>
  <bookViews>
    <workbookView xWindow="-110" yWindow="-110" windowWidth="38620" windowHeight="21100" xr2:uid="{803A615E-5405-415A-BDE5-9AD779938612}"/>
  </bookViews>
  <sheets>
    <sheet name="Schablonrecept"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8" l="1"/>
  <c r="M134" i="8"/>
  <c r="J134" i="8"/>
  <c r="L134" i="8"/>
  <c r="K134" i="8"/>
  <c r="I134" i="8"/>
  <c r="H134" i="8"/>
  <c r="G134" i="8"/>
  <c r="U132" i="8"/>
  <c r="M132" i="8"/>
  <c r="K132" i="8"/>
  <c r="G108" i="8"/>
  <c r="I108" i="8" s="1"/>
  <c r="H108" i="8"/>
  <c r="S109" i="8"/>
  <c r="S107" i="8"/>
  <c r="S112" i="8"/>
  <c r="J108" i="8" l="1"/>
  <c r="M108" i="8" s="1"/>
  <c r="R140" i="8"/>
  <c r="S124" i="8" l="1"/>
  <c r="H112" i="8"/>
  <c r="G107" i="8"/>
  <c r="G109" i="8"/>
  <c r="H109" i="8"/>
  <c r="K96" i="8"/>
  <c r="H96" i="8"/>
  <c r="G96" i="8"/>
  <c r="K95" i="8"/>
  <c r="H95" i="8"/>
  <c r="G95" i="8"/>
  <c r="K94" i="8"/>
  <c r="H94" i="8"/>
  <c r="G94" i="8"/>
  <c r="K75" i="8"/>
  <c r="H75" i="8"/>
  <c r="G75" i="8"/>
  <c r="K74" i="8"/>
  <c r="H74" i="8"/>
  <c r="G74" i="8"/>
  <c r="I109" i="8" l="1"/>
  <c r="I96" i="8"/>
  <c r="J96" i="8" s="1"/>
  <c r="M96" i="8" s="1"/>
  <c r="I95" i="8"/>
  <c r="J95" i="8" s="1"/>
  <c r="M95" i="8" s="1"/>
  <c r="I94" i="8"/>
  <c r="J94" i="8" s="1"/>
  <c r="M94" i="8" s="1"/>
  <c r="I75" i="8"/>
  <c r="J75" i="8" s="1"/>
  <c r="M75" i="8" s="1"/>
  <c r="I74" i="8"/>
  <c r="J74" i="8" s="1"/>
  <c r="M74" i="8" s="1"/>
  <c r="V28" i="8" l="1"/>
  <c r="B16" i="8"/>
  <c r="B23" i="8"/>
  <c r="B22" i="8"/>
  <c r="B21" i="8"/>
  <c r="B20" i="8"/>
  <c r="B19" i="8"/>
  <c r="B18" i="8"/>
  <c r="B15" i="8"/>
  <c r="B14" i="8"/>
  <c r="B13" i="8"/>
  <c r="G86" i="8"/>
  <c r="K120" i="8"/>
  <c r="G120" i="8"/>
  <c r="K80" i="8"/>
  <c r="L80" i="8"/>
  <c r="G80" i="8"/>
  <c r="J80" i="8" l="1"/>
  <c r="M80" i="8" s="1"/>
  <c r="G128" i="8"/>
  <c r="G153" i="8" l="1"/>
  <c r="G144" i="8"/>
  <c r="H141" i="8"/>
  <c r="H138" i="8"/>
  <c r="G141" i="8"/>
  <c r="H144" i="8"/>
  <c r="G145" i="8"/>
  <c r="G138" i="8"/>
  <c r="G121" i="8"/>
  <c r="H121" i="8"/>
  <c r="L161" i="8"/>
  <c r="L23" i="8" s="1"/>
  <c r="I141" i="8" l="1"/>
  <c r="I144" i="8"/>
  <c r="I121" i="8"/>
  <c r="I138" i="8"/>
  <c r="J138" i="8"/>
  <c r="J121" i="8"/>
  <c r="M121" i="8" s="1"/>
  <c r="J144" i="8"/>
  <c r="M144" i="8" s="1"/>
  <c r="L146" i="8"/>
  <c r="K146" i="8"/>
  <c r="H145" i="8"/>
  <c r="I145" i="8" s="1"/>
  <c r="G142" i="8"/>
  <c r="H142" i="8"/>
  <c r="J141" i="8"/>
  <c r="H120" i="8"/>
  <c r="K93" i="8"/>
  <c r="U53" i="8"/>
  <c r="U51" i="8"/>
  <c r="I142" i="8" l="1"/>
  <c r="J142" i="8" s="1"/>
  <c r="I120" i="8"/>
  <c r="J120" i="8" s="1"/>
  <c r="M120" i="8" s="1"/>
  <c r="J145" i="8"/>
  <c r="M145" i="8" s="1"/>
  <c r="M138" i="8"/>
  <c r="M141" i="8"/>
  <c r="L149" i="8"/>
  <c r="M146" i="8"/>
  <c r="L22" i="8" l="1"/>
  <c r="H122" i="8"/>
  <c r="G122" i="8"/>
  <c r="I122" i="8" l="1"/>
  <c r="J122" i="8" s="1"/>
  <c r="U159" i="8"/>
  <c r="S157" i="8"/>
  <c r="R157" i="8"/>
  <c r="M122" i="8" l="1"/>
  <c r="U147" i="8"/>
  <c r="S143" i="8"/>
  <c r="H143" i="8" s="1"/>
  <c r="R143" i="8"/>
  <c r="G143" i="8" s="1"/>
  <c r="U142" i="8"/>
  <c r="K142" i="8" s="1"/>
  <c r="G140" i="8"/>
  <c r="I143" i="8" l="1"/>
  <c r="J143" i="8" s="1"/>
  <c r="M143" i="8" s="1"/>
  <c r="M142" i="8"/>
  <c r="K147" i="8"/>
  <c r="M147" i="8" s="1"/>
  <c r="K149" i="8" l="1"/>
  <c r="R139" i="8"/>
  <c r="G139" i="8" s="1"/>
  <c r="S131" i="8"/>
  <c r="R131" i="8"/>
  <c r="U127" i="8"/>
  <c r="S126" i="8"/>
  <c r="R126" i="8"/>
  <c r="S125" i="8"/>
  <c r="R125" i="8"/>
  <c r="R123" i="8"/>
  <c r="S123" i="8" l="1"/>
  <c r="S139" i="8" s="1"/>
  <c r="K22" i="8"/>
  <c r="G149" i="8"/>
  <c r="S98" i="8"/>
  <c r="R98" i="8"/>
  <c r="H57" i="8"/>
  <c r="I57" i="8"/>
  <c r="J57" i="8"/>
  <c r="G57" i="8"/>
  <c r="U27" i="8"/>
  <c r="K27" i="8" s="1"/>
  <c r="U99" i="8"/>
  <c r="S140" i="8" l="1"/>
  <c r="H140" i="8" s="1"/>
  <c r="H139" i="8"/>
  <c r="I139" i="8" s="1"/>
  <c r="J139" i="8" s="1"/>
  <c r="M139" i="8" s="1"/>
  <c r="I14" i="8"/>
  <c r="G22" i="8"/>
  <c r="G14" i="8"/>
  <c r="J14" i="8"/>
  <c r="H14" i="8"/>
  <c r="U86" i="8"/>
  <c r="S77" i="8"/>
  <c r="R77" i="8"/>
  <c r="U72" i="8"/>
  <c r="V55" i="8"/>
  <c r="V45" i="8"/>
  <c r="V41" i="8"/>
  <c r="V35" i="8"/>
  <c r="U158" i="8"/>
  <c r="H149" i="8" l="1"/>
  <c r="H22" i="8" s="1"/>
  <c r="I140" i="8"/>
  <c r="J140" i="8" s="1"/>
  <c r="M140" i="8" s="1"/>
  <c r="M149" i="8" s="1"/>
  <c r="I149" i="8"/>
  <c r="I22" i="8" s="1"/>
  <c r="J149" i="8" l="1"/>
  <c r="J22" i="8" s="1"/>
  <c r="M22" i="8"/>
  <c r="U110" i="8"/>
  <c r="U128" i="8"/>
  <c r="U114" i="8" l="1"/>
  <c r="U64" i="8" l="1"/>
  <c r="U43" i="8"/>
  <c r="G126" i="8" l="1"/>
  <c r="H126" i="8"/>
  <c r="I126" i="8" l="1"/>
  <c r="J126" i="8" s="1"/>
  <c r="M126" i="8" s="1"/>
  <c r="H97" i="8" l="1"/>
  <c r="H98" i="8"/>
  <c r="G98" i="8" l="1"/>
  <c r="G97" i="8"/>
  <c r="H99" i="8"/>
  <c r="I97" i="8" l="1"/>
  <c r="J97" i="8" s="1"/>
  <c r="M97" i="8" s="1"/>
  <c r="I98" i="8"/>
  <c r="J98" i="8" s="1"/>
  <c r="M98" i="8" s="1"/>
  <c r="K99" i="8"/>
  <c r="G99" i="8"/>
  <c r="I99" i="8" l="1"/>
  <c r="J99" i="8" s="1"/>
  <c r="M99" i="8" s="1"/>
  <c r="L101" i="8" l="1"/>
  <c r="K101" i="8"/>
  <c r="K102" i="8" s="1"/>
  <c r="K19" i="8" s="1"/>
  <c r="M101" i="8" l="1"/>
  <c r="L102" i="8"/>
  <c r="L19" i="8" l="1"/>
  <c r="G112" i="8"/>
  <c r="I112" i="8" l="1"/>
  <c r="J112" i="8" s="1"/>
  <c r="M112" i="8" s="1"/>
  <c r="J109" i="8"/>
  <c r="M109" i="8" s="1"/>
  <c r="G124" i="8" l="1"/>
  <c r="H124" i="8"/>
  <c r="I124" i="8" l="1"/>
  <c r="J124" i="8" s="1"/>
  <c r="M124" i="8" s="1"/>
  <c r="H93" i="8" l="1"/>
  <c r="H100" i="8"/>
  <c r="G100" i="8"/>
  <c r="I100" i="8" l="1"/>
  <c r="J100" i="8" s="1"/>
  <c r="M100" i="8" s="1"/>
  <c r="G93" i="8"/>
  <c r="H102" i="8"/>
  <c r="G102" i="8" l="1"/>
  <c r="G19" i="8" s="1"/>
  <c r="I93" i="8"/>
  <c r="I102" i="8" s="1"/>
  <c r="I19" i="8" s="1"/>
  <c r="H19" i="8"/>
  <c r="J93" i="8"/>
  <c r="M93" i="8" s="1"/>
  <c r="M102" i="8" s="1"/>
  <c r="M19" i="8" l="1"/>
  <c r="J102" i="8"/>
  <c r="U65" i="8"/>
  <c r="J19" i="8" l="1"/>
  <c r="L79" i="8" l="1"/>
  <c r="L81" i="8" s="1"/>
  <c r="K79" i="8"/>
  <c r="L16" i="8" l="1"/>
  <c r="L17" i="8"/>
  <c r="M79" i="8"/>
  <c r="G61" i="8" l="1"/>
  <c r="L88" i="8" l="1"/>
  <c r="K88" i="8"/>
  <c r="K73" i="8"/>
  <c r="H73" i="8"/>
  <c r="G73" i="8"/>
  <c r="I73" i="8" s="1"/>
  <c r="G76" i="8" l="1"/>
  <c r="M88" i="8"/>
  <c r="L89" i="8"/>
  <c r="G87" i="8"/>
  <c r="H87" i="8"/>
  <c r="H86" i="8"/>
  <c r="I86" i="8" s="1"/>
  <c r="K86" i="8"/>
  <c r="K89" i="8" s="1"/>
  <c r="K18" i="8" s="1"/>
  <c r="H78" i="8"/>
  <c r="G78" i="8"/>
  <c r="G77" i="8"/>
  <c r="H77" i="8"/>
  <c r="J73" i="8"/>
  <c r="M73" i="8" s="1"/>
  <c r="I87" i="8" l="1"/>
  <c r="I89" i="8" s="1"/>
  <c r="I18" i="8" s="1"/>
  <c r="I78" i="8"/>
  <c r="J78" i="8" s="1"/>
  <c r="M78" i="8" s="1"/>
  <c r="I77" i="8"/>
  <c r="L18" i="8"/>
  <c r="H76" i="8"/>
  <c r="I76" i="8" s="1"/>
  <c r="H89" i="8"/>
  <c r="G89" i="8"/>
  <c r="J86" i="8"/>
  <c r="M86" i="8" s="1"/>
  <c r="J87" i="8" l="1"/>
  <c r="M87" i="8" s="1"/>
  <c r="M89" i="8" s="1"/>
  <c r="M18" i="8" s="1"/>
  <c r="J76" i="8"/>
  <c r="M76" i="8" s="1"/>
  <c r="J77" i="8"/>
  <c r="M77" i="8" s="1"/>
  <c r="H18" i="8"/>
  <c r="G18" i="8"/>
  <c r="J89" i="8" l="1"/>
  <c r="J18" i="8" s="1"/>
  <c r="K64" i="8" l="1"/>
  <c r="K65" i="8"/>
  <c r="G63" i="8" l="1"/>
  <c r="M65" i="8"/>
  <c r="M64" i="8"/>
  <c r="H63" i="8" l="1"/>
  <c r="I63" i="8" s="1"/>
  <c r="K67" i="8"/>
  <c r="K68" i="8" s="1"/>
  <c r="H72" i="8"/>
  <c r="H81" i="8" s="1"/>
  <c r="G72" i="8"/>
  <c r="I72" i="8" s="1"/>
  <c r="I81" i="8" s="1"/>
  <c r="K72" i="8"/>
  <c r="K81" i="8" s="1"/>
  <c r="H61" i="8"/>
  <c r="I61" i="8" s="1"/>
  <c r="I17" i="8" l="1"/>
  <c r="I16" i="8"/>
  <c r="H16" i="8"/>
  <c r="H17" i="8"/>
  <c r="K16" i="8"/>
  <c r="K17" i="8"/>
  <c r="K15" i="8"/>
  <c r="G81" i="8"/>
  <c r="G17" i="8" s="1"/>
  <c r="L67" i="8"/>
  <c r="M67" i="8" s="1"/>
  <c r="J72" i="8"/>
  <c r="J81" i="8" s="1"/>
  <c r="J63" i="8"/>
  <c r="M63" i="8" s="1"/>
  <c r="J16" i="8" l="1"/>
  <c r="J17" i="8"/>
  <c r="G16" i="8"/>
  <c r="L68" i="8"/>
  <c r="M72" i="8"/>
  <c r="J61" i="8"/>
  <c r="M61" i="8" s="1"/>
  <c r="M81" i="8" l="1"/>
  <c r="M17" i="8" s="1"/>
  <c r="L15" i="8"/>
  <c r="M16" i="8" l="1"/>
  <c r="M82" i="8"/>
  <c r="L41" i="8"/>
  <c r="M41" i="8" s="1"/>
  <c r="U32" i="8" l="1"/>
  <c r="U37" i="8" l="1"/>
  <c r="U30" i="8"/>
  <c r="U33" i="8"/>
  <c r="U39" i="8"/>
  <c r="I47" i="8" l="1"/>
  <c r="I13" i="8" l="1"/>
  <c r="L28" i="8"/>
  <c r="M28" i="8" s="1"/>
  <c r="L45" i="8"/>
  <c r="M45" i="8" s="1"/>
  <c r="K43" i="8"/>
  <c r="M43" i="8" s="1"/>
  <c r="K39" i="8"/>
  <c r="M39" i="8" s="1"/>
  <c r="K114" i="8" l="1"/>
  <c r="M114" i="8" s="1"/>
  <c r="G106" i="8"/>
  <c r="K30" i="8"/>
  <c r="M30" i="8" s="1"/>
  <c r="K37" i="8"/>
  <c r="M37" i="8" s="1"/>
  <c r="K53" i="8"/>
  <c r="M53" i="8" s="1"/>
  <c r="K51" i="8"/>
  <c r="M51" i="8" s="1"/>
  <c r="K33" i="8"/>
  <c r="M33" i="8" s="1"/>
  <c r="L55" i="8"/>
  <c r="L35" i="8"/>
  <c r="K32" i="8"/>
  <c r="M32" i="8" s="1"/>
  <c r="M27" i="8"/>
  <c r="H131" i="8" l="1"/>
  <c r="G131" i="8"/>
  <c r="H127" i="8"/>
  <c r="G127" i="8"/>
  <c r="I127" i="8" s="1"/>
  <c r="K127" i="8"/>
  <c r="H130" i="8"/>
  <c r="G130" i="8"/>
  <c r="H106" i="8"/>
  <c r="K159" i="8"/>
  <c r="M159" i="8" s="1"/>
  <c r="H107" i="8"/>
  <c r="L57" i="8"/>
  <c r="M55" i="8"/>
  <c r="M57" i="8" s="1"/>
  <c r="K57" i="8"/>
  <c r="L47" i="8"/>
  <c r="M35" i="8"/>
  <c r="M47" i="8" s="1"/>
  <c r="K113" i="8"/>
  <c r="L113" i="8"/>
  <c r="L116" i="8" s="1"/>
  <c r="H111" i="8"/>
  <c r="G111" i="8"/>
  <c r="I111" i="8" s="1"/>
  <c r="K47" i="8"/>
  <c r="H47" i="8"/>
  <c r="G47" i="8"/>
  <c r="G13" i="8" s="1"/>
  <c r="I130" i="8" l="1"/>
  <c r="I107" i="8"/>
  <c r="J107" i="8" s="1"/>
  <c r="M107" i="8" s="1"/>
  <c r="I131" i="8"/>
  <c r="J131" i="8" s="1"/>
  <c r="M131" i="8" s="1"/>
  <c r="I106" i="8"/>
  <c r="L14" i="8"/>
  <c r="H13" i="8"/>
  <c r="K14" i="8"/>
  <c r="K13" i="8"/>
  <c r="M14" i="8"/>
  <c r="J127" i="8"/>
  <c r="M127" i="8" s="1"/>
  <c r="J130" i="8"/>
  <c r="M130" i="8" s="1"/>
  <c r="H129" i="8"/>
  <c r="G129" i="8"/>
  <c r="G125" i="8"/>
  <c r="H125" i="8"/>
  <c r="K128" i="8"/>
  <c r="H128" i="8"/>
  <c r="I128" i="8" s="1"/>
  <c r="G123" i="8"/>
  <c r="H123" i="8"/>
  <c r="G157" i="8"/>
  <c r="H154" i="8"/>
  <c r="H155" i="8"/>
  <c r="G156" i="8"/>
  <c r="M113" i="8"/>
  <c r="H158" i="8"/>
  <c r="G158" i="8"/>
  <c r="K158" i="8"/>
  <c r="H153" i="8"/>
  <c r="I153" i="8" s="1"/>
  <c r="J111" i="8"/>
  <c r="M111" i="8" s="1"/>
  <c r="J47" i="8"/>
  <c r="J106" i="8" l="1"/>
  <c r="I123" i="8"/>
  <c r="I129" i="8"/>
  <c r="J129" i="8" s="1"/>
  <c r="M129" i="8" s="1"/>
  <c r="I125" i="8"/>
  <c r="I158" i="8"/>
  <c r="J158" i="8" s="1"/>
  <c r="M158" i="8" s="1"/>
  <c r="M13" i="8"/>
  <c r="L20" i="8"/>
  <c r="J13" i="8"/>
  <c r="J128" i="8"/>
  <c r="M128" i="8" s="1"/>
  <c r="J123" i="8"/>
  <c r="K161" i="8"/>
  <c r="G155" i="8"/>
  <c r="G154" i="8"/>
  <c r="H157" i="8"/>
  <c r="H156" i="8"/>
  <c r="J153" i="8"/>
  <c r="M153" i="8" s="1"/>
  <c r="G110" i="8"/>
  <c r="G116" i="8" s="1"/>
  <c r="K110" i="8"/>
  <c r="H110" i="8"/>
  <c r="H116" i="8" s="1"/>
  <c r="I21" i="8" l="1"/>
  <c r="K116" i="8"/>
  <c r="K20" i="8" s="1"/>
  <c r="M106" i="8"/>
  <c r="J125" i="8"/>
  <c r="M125" i="8" s="1"/>
  <c r="I154" i="8"/>
  <c r="J154" i="8" s="1"/>
  <c r="I157" i="8"/>
  <c r="J157" i="8" s="1"/>
  <c r="M157" i="8" s="1"/>
  <c r="I155" i="8"/>
  <c r="J155" i="8" s="1"/>
  <c r="M155" i="8" s="1"/>
  <c r="I110" i="8"/>
  <c r="I156" i="8"/>
  <c r="J156" i="8" s="1"/>
  <c r="M156" i="8" s="1"/>
  <c r="H21" i="8"/>
  <c r="L21" i="8"/>
  <c r="K23" i="8"/>
  <c r="K21" i="8"/>
  <c r="G21" i="8"/>
  <c r="H161" i="8"/>
  <c r="M123" i="8"/>
  <c r="G161" i="8"/>
  <c r="M21" i="8" l="1"/>
  <c r="I116" i="8"/>
  <c r="I20" i="8" s="1"/>
  <c r="J110" i="8"/>
  <c r="M154" i="8"/>
  <c r="M161" i="8" s="1"/>
  <c r="M23" i="8" s="1"/>
  <c r="J161" i="8"/>
  <c r="J23" i="8" s="1"/>
  <c r="I161" i="8"/>
  <c r="I23" i="8" s="1"/>
  <c r="G23" i="8"/>
  <c r="H23" i="8"/>
  <c r="H20" i="8"/>
  <c r="G20" i="8"/>
  <c r="J21" i="8"/>
  <c r="J116" i="8" l="1"/>
  <c r="J20" i="8" s="1"/>
  <c r="M110" i="8"/>
  <c r="H62" i="8"/>
  <c r="H68" i="8" s="1"/>
  <c r="G62" i="8"/>
  <c r="M116" i="8" l="1"/>
  <c r="M20" i="8" s="1"/>
  <c r="G68" i="8"/>
  <c r="G15" i="8" s="1"/>
  <c r="I62" i="8"/>
  <c r="I68" i="8" s="1"/>
  <c r="I15" i="8" s="1"/>
  <c r="H15" i="8"/>
  <c r="J62" i="8" l="1"/>
  <c r="J68" i="8" s="1"/>
  <c r="M62" i="8" l="1"/>
  <c r="J15" i="8"/>
  <c r="M68" i="8" l="1"/>
  <c r="M1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 Lindeberg</author>
  </authors>
  <commentList>
    <comment ref="R61" authorId="0" shapeId="0" xr:uid="{34FF2989-F8F5-471D-A89A-E895B3AB59DC}">
      <text>
        <r>
          <rPr>
            <sz val="9"/>
            <color indexed="81"/>
            <rFont val="Tahoma"/>
            <family val="2"/>
          </rPr>
          <t>2,27 kg CO2e/kg</t>
        </r>
      </text>
    </comment>
    <comment ref="S61" authorId="0" shapeId="0" xr:uid="{4273A1DF-421D-4C28-931B-B6184A262CDE}">
      <text>
        <r>
          <rPr>
            <sz val="9"/>
            <color indexed="81"/>
            <rFont val="Tahoma"/>
            <family val="2"/>
          </rPr>
          <t>0,04 kg CO2e/kg</t>
        </r>
      </text>
    </comment>
    <comment ref="D62" authorId="0" shapeId="0" xr:uid="{9B91254A-7A87-49D5-8919-AF5BD2CFD499}">
      <text>
        <r>
          <rPr>
            <sz val="9"/>
            <color indexed="81"/>
            <rFont val="Tahoma"/>
            <family val="2"/>
          </rPr>
          <t>117 kg/m</t>
        </r>
      </text>
    </comment>
    <comment ref="D63" authorId="0" shapeId="0" xr:uid="{EC8162C6-E000-4F6A-B186-A750ACAB62CD}">
      <text>
        <r>
          <rPr>
            <sz val="9"/>
            <color indexed="81"/>
            <rFont val="Tahoma"/>
            <family val="2"/>
          </rPr>
          <t>8,4 kg/m</t>
        </r>
      </text>
    </comment>
    <comment ref="V67" authorId="0" shapeId="0" xr:uid="{254778D1-AEA3-42A7-B379-7057B173F3C1}">
      <text>
        <r>
          <rPr>
            <sz val="9"/>
            <color indexed="81"/>
            <rFont val="Tahoma"/>
            <family val="2"/>
          </rPr>
          <t>Lastbil 30 km</t>
        </r>
      </text>
    </comment>
    <comment ref="S72" authorId="0" shapeId="0" xr:uid="{1CED1D64-0C4E-4111-B415-4E6469C0E52F}">
      <text>
        <r>
          <rPr>
            <sz val="9"/>
            <color indexed="81"/>
            <rFont val="Tahoma"/>
            <family val="2"/>
          </rPr>
          <t>Lastbil 30 km</t>
        </r>
      </text>
    </comment>
    <comment ref="T72" authorId="0" shapeId="0" xr:uid="{07E80D0F-F7CC-4EE8-87FD-E06F87CFDF90}">
      <text>
        <r>
          <rPr>
            <sz val="9"/>
            <color indexed="81"/>
            <rFont val="Tahoma"/>
            <family val="2"/>
          </rPr>
          <t xml:space="preserve">OBS: Källan för klimatdata anger ingen spillfaktor. Detta är en antagen spillfaktor. </t>
        </r>
      </text>
    </comment>
    <comment ref="S76" authorId="0" shapeId="0" xr:uid="{EA27A1CD-8CBA-4E75-961D-E2298857E20E}">
      <text>
        <r>
          <rPr>
            <sz val="9"/>
            <color indexed="81"/>
            <rFont val="Tahoma"/>
            <family val="2"/>
          </rPr>
          <t>1000 km lastbil (1 MJ/tkm)</t>
        </r>
      </text>
    </comment>
    <comment ref="T76" authorId="0" shapeId="0" xr:uid="{AD9ED0DF-A282-434F-A5DB-B57C92B334EC}">
      <text>
        <r>
          <rPr>
            <sz val="9"/>
            <color indexed="81"/>
            <rFont val="Tahoma"/>
            <family val="2"/>
          </rPr>
          <t xml:space="preserve">OBS: Källan för klimatdata anger ingen spillfaktor. Detta är en antagen spillfaktor. </t>
        </r>
      </text>
    </comment>
    <comment ref="V79" authorId="0" shapeId="0" xr:uid="{29F7B6C5-B513-412F-96AA-0BAEE4D889D0}">
      <text>
        <r>
          <rPr>
            <sz val="9"/>
            <color indexed="81"/>
            <rFont val="Tahoma"/>
            <family val="2"/>
          </rPr>
          <t>Lastbil 30 km</t>
        </r>
      </text>
    </comment>
    <comment ref="S86" authorId="0" shapeId="0" xr:uid="{46D930AF-4A78-423C-8662-0714E0EAC50E}">
      <text>
        <r>
          <rPr>
            <sz val="9"/>
            <color indexed="81"/>
            <rFont val="Tahoma"/>
            <family val="2"/>
          </rPr>
          <t>Lastbil 30 km</t>
        </r>
      </text>
    </comment>
    <comment ref="T86" authorId="0" shapeId="0" xr:uid="{8FEED4EE-9900-44DF-8AB9-8B5AAF8CC417}">
      <text>
        <r>
          <rPr>
            <sz val="9"/>
            <color indexed="81"/>
            <rFont val="Tahoma"/>
            <family val="2"/>
          </rPr>
          <t xml:space="preserve">OBS: Källan för klimatdata anger ingen spillfaktor. Detta är en antagen spillfaktor. </t>
        </r>
      </text>
    </comment>
    <comment ref="S87" authorId="0" shapeId="0" xr:uid="{9E45E921-05AF-4756-8E10-466BB42A7EF4}">
      <text>
        <r>
          <rPr>
            <sz val="9"/>
            <color indexed="81"/>
            <rFont val="Tahoma"/>
            <family val="2"/>
          </rPr>
          <t>1000 km lastbil (1 MJ/tkm)</t>
        </r>
      </text>
    </comment>
    <comment ref="T87" authorId="0" shapeId="0" xr:uid="{F8206AA7-D217-48CC-AF3A-5F520B2417C5}">
      <text>
        <r>
          <rPr>
            <sz val="9"/>
            <color indexed="81"/>
            <rFont val="Tahoma"/>
            <family val="2"/>
          </rPr>
          <t xml:space="preserve">OBS: Källan för klimatdata anger ingen spillfaktor. Detta är en antagen spillfaktor. </t>
        </r>
      </text>
    </comment>
    <comment ref="V88" authorId="0" shapeId="0" xr:uid="{DCB368C7-AE3A-496F-A045-654FCFDF005A}">
      <text>
        <r>
          <rPr>
            <sz val="9"/>
            <color indexed="81"/>
            <rFont val="Tahoma"/>
            <family val="2"/>
          </rPr>
          <t>Lastbil 30 km</t>
        </r>
      </text>
    </comment>
    <comment ref="P93" authorId="0" shapeId="0" xr:uid="{7807C996-A4AC-4A85-93DD-F6BA2A5CD755}">
      <text>
        <r>
          <rPr>
            <sz val="9"/>
            <color indexed="81"/>
            <rFont val="Tahoma"/>
            <family val="2"/>
          </rPr>
          <t>Avser betongpålar (SP1) med dimension 235x235 mm och 4 st 
armeringsjärn av dimension 16 mm</t>
        </r>
      </text>
    </comment>
    <comment ref="P94" authorId="0" shapeId="0" xr:uid="{EA14599C-A51C-416E-B96A-06A41466F51B}">
      <text>
        <r>
          <rPr>
            <sz val="9"/>
            <color indexed="81"/>
            <rFont val="Tahoma"/>
            <family val="2"/>
          </rPr>
          <t>Avser betongpålar (SP2) med dimension 270x270 mm och 8 st 
armeringsjärn av dimension 12 mm.</t>
        </r>
      </text>
    </comment>
    <comment ref="P96" authorId="0" shapeId="0" xr:uid="{1BF00D0E-7E4A-4BA8-94F6-6CA23E8C41DF}">
      <text>
        <r>
          <rPr>
            <sz val="9"/>
            <color indexed="81"/>
            <rFont val="Tahoma"/>
            <family val="2"/>
          </rPr>
          <t>Avser stålrörspålar av dimension 168,3 mm med väggtjocklek 10 
mm (RD170/10) fylld med oarmerad betong C30/37</t>
        </r>
      </text>
    </comment>
    <comment ref="S99" authorId="0" shapeId="0" xr:uid="{C17D6E78-D2C7-44BE-BA48-D5C65170902F}">
      <text>
        <r>
          <rPr>
            <sz val="9"/>
            <color indexed="81"/>
            <rFont val="Tahoma"/>
            <family val="2"/>
          </rPr>
          <t>Lastbil 30 km</t>
        </r>
      </text>
    </comment>
    <comment ref="T99" authorId="0" shapeId="0" xr:uid="{65D93921-BFCE-4A02-840D-5A9CB784C7F6}">
      <text>
        <r>
          <rPr>
            <sz val="9"/>
            <color indexed="81"/>
            <rFont val="Tahoma"/>
            <family val="2"/>
          </rPr>
          <t xml:space="preserve">OBS: Källan för klimatdata anger ingen spillfaktor. Detta är en antagen spillfaktor. </t>
        </r>
      </text>
    </comment>
    <comment ref="S100" authorId="0" shapeId="0" xr:uid="{7F6003F3-2182-41DF-A019-7A2E6E81C912}">
      <text>
        <r>
          <rPr>
            <sz val="9"/>
            <color indexed="81"/>
            <rFont val="Tahoma"/>
            <family val="2"/>
          </rPr>
          <t>1000 km lastbil (1 MJ/tkm)</t>
        </r>
      </text>
    </comment>
    <comment ref="T100" authorId="0" shapeId="0" xr:uid="{1F1C7ABA-2E57-4606-9F0A-EB4DF3543E1D}">
      <text>
        <r>
          <rPr>
            <sz val="9"/>
            <color indexed="81"/>
            <rFont val="Tahoma"/>
            <family val="2"/>
          </rPr>
          <t xml:space="preserve">OBS: Källan för klimatdata anger ingen spillfaktor. Detta är en antagen spillfaktor. </t>
        </r>
      </text>
    </comment>
    <comment ref="V101" authorId="0" shapeId="0" xr:uid="{C99C90FB-250A-4762-96E0-188EFB7A7579}">
      <text>
        <r>
          <rPr>
            <sz val="9"/>
            <color indexed="81"/>
            <rFont val="Tahoma"/>
            <family val="2"/>
          </rPr>
          <t>Lastbil 30 km</t>
        </r>
      </text>
    </comment>
    <comment ref="T106" authorId="0" shapeId="0" xr:uid="{70D70046-EC64-4BBD-80E7-4F1DB73305E1}">
      <text>
        <r>
          <rPr>
            <sz val="9"/>
            <color indexed="81"/>
            <rFont val="Tahoma"/>
            <family val="2"/>
          </rPr>
          <t xml:space="preserve">OBS: Källan för klimatdata anger ingen spillfaktor. Detta är en antagen spillfaktor. </t>
        </r>
      </text>
    </comment>
    <comment ref="S107" authorId="0" shapeId="0" xr:uid="{22996FB4-9257-4E2B-B04A-5519E9B273E6}">
      <text>
        <r>
          <rPr>
            <sz val="9"/>
            <color indexed="81"/>
            <rFont val="Tahoma"/>
            <family val="2"/>
          </rPr>
          <t xml:space="preserve">OBS: Källan för klimatdata anger inte A4. Detta är ett antaget värde. </t>
        </r>
      </text>
    </comment>
    <comment ref="P108" authorId="0" shapeId="0" xr:uid="{1FA7437A-FD0A-406E-8813-E112F09BF8E4}">
      <text>
        <r>
          <rPr>
            <sz val="9"/>
            <color indexed="81"/>
            <rFont val="Tahoma"/>
            <family val="2"/>
          </rPr>
          <t>HDPE</t>
        </r>
      </text>
    </comment>
    <comment ref="T108" authorId="0" shapeId="0" xr:uid="{AF71C0AC-1ADF-4B3F-A97A-03DCAD88492B}">
      <text>
        <r>
          <rPr>
            <sz val="9"/>
            <color indexed="81"/>
            <rFont val="Tahoma"/>
            <family val="2"/>
          </rPr>
          <t xml:space="preserve">OBS: Källan för klimatdata anger ingen spillfaktor. Detta är en antagen spillfaktor. </t>
        </r>
      </text>
    </comment>
    <comment ref="S109" authorId="0" shapeId="0" xr:uid="{C3796985-CEF6-4C22-A4FD-0E73E20627B0}">
      <text>
        <r>
          <rPr>
            <sz val="9"/>
            <color indexed="81"/>
            <rFont val="Tahoma"/>
            <family val="2"/>
          </rPr>
          <t xml:space="preserve">OBS: Källan för klimatdata anger inte A4. Detta är ett antaget värde. </t>
        </r>
      </text>
    </comment>
    <comment ref="S110" authorId="0" shapeId="0" xr:uid="{C1425168-8BAD-4E26-B4DF-6B516FA2B76C}">
      <text>
        <r>
          <rPr>
            <sz val="9"/>
            <color indexed="81"/>
            <rFont val="Tahoma"/>
            <family val="2"/>
          </rPr>
          <t>Lastbil 30 km</t>
        </r>
      </text>
    </comment>
    <comment ref="T110" authorId="0" shapeId="0" xr:uid="{EBBEB402-95D5-4EC7-9FBA-0A558DF2C706}">
      <text>
        <r>
          <rPr>
            <sz val="9"/>
            <color indexed="81"/>
            <rFont val="Tahoma"/>
            <family val="2"/>
          </rPr>
          <t xml:space="preserve">OBS: Källan för klimatdata anger ingen spillfaktor. Detta är en antagen spillfaktor. </t>
        </r>
      </text>
    </comment>
    <comment ref="S111" authorId="0" shapeId="0" xr:uid="{3100A9C5-5EC7-460A-948B-1518168E28B3}">
      <text>
        <r>
          <rPr>
            <sz val="9"/>
            <color indexed="81"/>
            <rFont val="Tahoma"/>
            <family val="2"/>
          </rPr>
          <t>1000 km lastbil (1 MJ/tkm)</t>
        </r>
      </text>
    </comment>
    <comment ref="T111" authorId="0" shapeId="0" xr:uid="{50641324-5F8D-4258-A42A-DC809B84C9A8}">
      <text>
        <r>
          <rPr>
            <sz val="9"/>
            <color indexed="81"/>
            <rFont val="Tahoma"/>
            <family val="2"/>
          </rPr>
          <t xml:space="preserve">OBS: Källan för klimatdata anger ingen spillfaktor. Detta är en antagen spillfaktor. </t>
        </r>
      </text>
    </comment>
    <comment ref="S112" authorId="0" shapeId="0" xr:uid="{11AFB0EF-E9E3-4211-ABAB-0D3E6DAEACD8}">
      <text>
        <r>
          <rPr>
            <sz val="9"/>
            <color indexed="81"/>
            <rFont val="Tahoma"/>
            <family val="2"/>
          </rPr>
          <t xml:space="preserve">OBS: Källan för klimatdata anger inte A4. Detta är ett antaget värde. </t>
        </r>
      </text>
    </comment>
    <comment ref="V113" authorId="0" shapeId="0" xr:uid="{258C0082-6FD2-418B-8CD7-72B208125FBC}">
      <text>
        <r>
          <rPr>
            <sz val="9"/>
            <color indexed="81"/>
            <rFont val="Tahoma"/>
            <family val="2"/>
          </rPr>
          <t>Lastbil 30 km</t>
        </r>
      </text>
    </comment>
    <comment ref="T120" authorId="0" shapeId="0" xr:uid="{CDBEF4FB-8758-43E7-8C55-21F9D63F5699}">
      <text>
        <r>
          <rPr>
            <sz val="9"/>
            <color indexed="81"/>
            <rFont val="Tahoma"/>
            <family val="2"/>
          </rPr>
          <t xml:space="preserve">OBS: Källan för klimatdata anger ingen spillfaktor. Detta är en antagen spillfaktor. </t>
        </r>
      </text>
    </comment>
    <comment ref="T121" authorId="0" shapeId="0" xr:uid="{BC3E83E6-1481-4B5A-BFD7-EF16552410B2}">
      <text>
        <r>
          <rPr>
            <sz val="9"/>
            <color indexed="81"/>
            <rFont val="Tahoma"/>
            <family val="2"/>
          </rPr>
          <t xml:space="preserve">OBS: Källan för klimatdata anger ingen spillfaktor. Detta är en antagen spillfaktor. </t>
        </r>
      </text>
    </comment>
    <comment ref="S123" authorId="0" shapeId="0" xr:uid="{E9807AA0-4C03-489D-8438-D5932C126EF7}">
      <text>
        <r>
          <rPr>
            <sz val="9"/>
            <color indexed="81"/>
            <rFont val="Tahoma"/>
            <family val="2"/>
          </rPr>
          <t xml:space="preserve">OBS: Källan för klimatdata anger inte A4. Detta är ett antaget värde. </t>
        </r>
      </text>
    </comment>
    <comment ref="S124" authorId="0" shapeId="0" xr:uid="{31A6D80A-2DB6-4A6D-8520-719C75195E0B}">
      <text>
        <r>
          <rPr>
            <sz val="9"/>
            <color indexed="81"/>
            <rFont val="Tahoma"/>
            <family val="2"/>
          </rPr>
          <t xml:space="preserve">OBS: Källan för klimatdata anger inte A4. Detta är ett antaget värde. </t>
        </r>
      </text>
    </comment>
    <comment ref="S127" authorId="0" shapeId="0" xr:uid="{07AB0462-1885-4ABB-99CD-FB18D40A2DC9}">
      <text>
        <r>
          <rPr>
            <sz val="9"/>
            <color indexed="81"/>
            <rFont val="Tahoma"/>
            <family val="2"/>
          </rPr>
          <t>Lastbil 30 km</t>
        </r>
      </text>
    </comment>
    <comment ref="T127" authorId="0" shapeId="0" xr:uid="{602F48C1-144B-43B5-8AEC-55284C91E6F2}">
      <text>
        <r>
          <rPr>
            <sz val="9"/>
            <color indexed="81"/>
            <rFont val="Tahoma"/>
            <family val="2"/>
          </rPr>
          <t xml:space="preserve">OBS: Källan för klimatdata anger ingen spillfaktor. Detta är en antagen spillfaktor. </t>
        </r>
      </text>
    </comment>
    <comment ref="S128" authorId="0" shapeId="0" xr:uid="{9D8F6E8C-7FA0-4415-A4F2-3963D9EEC7B1}">
      <text>
        <r>
          <rPr>
            <sz val="9"/>
            <color indexed="81"/>
            <rFont val="Tahoma"/>
            <family val="2"/>
          </rPr>
          <t>Lastbil 30 km</t>
        </r>
      </text>
    </comment>
    <comment ref="T128" authorId="0" shapeId="0" xr:uid="{190527D5-B62E-4A4A-9F00-17BEA4644F7F}">
      <text>
        <r>
          <rPr>
            <sz val="9"/>
            <color indexed="81"/>
            <rFont val="Tahoma"/>
            <family val="2"/>
          </rPr>
          <t xml:space="preserve">OBS: Källan för klimatdata anger ingen spillfaktor. Detta är en antagen spillfaktor. </t>
        </r>
      </text>
    </comment>
    <comment ref="S129" authorId="0" shapeId="0" xr:uid="{75037E13-23E3-42CE-8FC8-8C621477E96B}">
      <text>
        <r>
          <rPr>
            <sz val="9"/>
            <color indexed="81"/>
            <rFont val="Tahoma"/>
            <family val="2"/>
          </rPr>
          <t>1000 km lastbil (1 MJ/tkm)</t>
        </r>
      </text>
    </comment>
    <comment ref="T129" authorId="0" shapeId="0" xr:uid="{9FE24BD0-94AA-4D42-A08E-AF0341EF5575}">
      <text>
        <r>
          <rPr>
            <sz val="9"/>
            <color indexed="81"/>
            <rFont val="Tahoma"/>
            <family val="2"/>
          </rPr>
          <t xml:space="preserve">OBS: Källan för klimatdata anger ingen spillfaktor. Detta är en antagen spillfaktor. </t>
        </r>
      </text>
    </comment>
    <comment ref="S139" authorId="0" shapeId="0" xr:uid="{C9228730-4CFD-4C62-B922-B6F147E688C2}">
      <text>
        <r>
          <rPr>
            <sz val="9"/>
            <color indexed="81"/>
            <rFont val="Tahoma"/>
            <family val="2"/>
          </rPr>
          <t xml:space="preserve">OBS: Källan för klimatdata anger inte A4. Detta är ett antaget värde. </t>
        </r>
      </text>
    </comment>
    <comment ref="S140" authorId="0" shapeId="0" xr:uid="{075D0952-5429-4AFF-85CF-2DB512C8711D}">
      <text>
        <r>
          <rPr>
            <sz val="9"/>
            <color indexed="81"/>
            <rFont val="Tahoma"/>
            <family val="2"/>
          </rPr>
          <t xml:space="preserve">OBS: Källan för klimatdata anger inte A4. Detta är ett antaget värde. </t>
        </r>
      </text>
    </comment>
    <comment ref="W141" authorId="0" shapeId="0" xr:uid="{1376A9AD-189C-4857-937D-6D6C8515E330}">
      <text>
        <r>
          <rPr>
            <sz val="9"/>
            <color indexed="81"/>
            <rFont val="Tahoma"/>
            <family val="2"/>
          </rPr>
          <t>OBS: Omräkningsfaktor ej från Boverket</t>
        </r>
      </text>
    </comment>
    <comment ref="S142" authorId="0" shapeId="0" xr:uid="{EC824221-B80F-4B00-AD9E-AE4505E63422}">
      <text>
        <r>
          <rPr>
            <sz val="9"/>
            <color indexed="81"/>
            <rFont val="Tahoma"/>
            <family val="2"/>
          </rPr>
          <t>Lastbil 30 km</t>
        </r>
      </text>
    </comment>
    <comment ref="T142" authorId="0" shapeId="0" xr:uid="{55073DDB-62B1-4BCD-BD93-3A093BA92DE7}">
      <text>
        <r>
          <rPr>
            <sz val="9"/>
            <color indexed="81"/>
            <rFont val="Tahoma"/>
            <family val="2"/>
          </rPr>
          <t xml:space="preserve">OBS: Källan för klimatdata anger ingen spillfaktor. Detta är en antagen spillfaktor. </t>
        </r>
      </text>
    </comment>
    <comment ref="S145" authorId="0" shapeId="0" xr:uid="{C58D8A42-C564-4772-885D-12E20B94FCDD}">
      <text>
        <r>
          <rPr>
            <sz val="9"/>
            <color indexed="81"/>
            <rFont val="Tahoma"/>
            <family val="2"/>
          </rPr>
          <t>1000 km lastbil (1 MJ/tkm)</t>
        </r>
      </text>
    </comment>
    <comment ref="T145" authorId="0" shapeId="0" xr:uid="{D94E57E3-6D5B-49CA-8025-12073E7A528A}">
      <text>
        <r>
          <rPr>
            <sz val="9"/>
            <color indexed="81"/>
            <rFont val="Tahoma"/>
            <family val="2"/>
          </rPr>
          <t xml:space="preserve">OBS: Källan för klimatdata anger ingen spillfaktor. Detta är en antagen spillfaktor. </t>
        </r>
      </text>
    </comment>
    <comment ref="V146" authorId="0" shapeId="0" xr:uid="{D43000B4-D9F1-4B5E-A79A-9801295CDD54}">
      <text>
        <r>
          <rPr>
            <sz val="9"/>
            <color indexed="81"/>
            <rFont val="Tahoma"/>
            <family val="2"/>
          </rPr>
          <t>Lastbil 30 km</t>
        </r>
      </text>
    </comment>
    <comment ref="T153" authorId="0" shapeId="0" xr:uid="{9322C1B0-9396-4C19-B9D7-2F4004B5C625}">
      <text>
        <r>
          <rPr>
            <sz val="9"/>
            <color indexed="81"/>
            <rFont val="Tahoma"/>
            <family val="2"/>
          </rPr>
          <t xml:space="preserve">OBS: Spillfaktor ändrad pga prefabprodukt. </t>
        </r>
      </text>
    </comment>
    <comment ref="T154" authorId="0" shapeId="0" xr:uid="{37C6F99C-CF3A-48B7-BBBD-4308389CE861}">
      <text>
        <r>
          <rPr>
            <sz val="9"/>
            <color indexed="81"/>
            <rFont val="Tahoma"/>
            <family val="2"/>
          </rPr>
          <t xml:space="preserve">OBS: Spillfaktor ändrad pga prefabprodukt. </t>
        </r>
      </text>
    </comment>
    <comment ref="T155" authorId="0" shapeId="0" xr:uid="{E671C665-1244-49D6-8C5F-88172A350E71}">
      <text>
        <r>
          <rPr>
            <sz val="9"/>
            <color indexed="81"/>
            <rFont val="Tahoma"/>
            <family val="2"/>
          </rPr>
          <t xml:space="preserve">OBS: Spillfaktor ändrad pga prefabprodukt. </t>
        </r>
      </text>
    </comment>
    <comment ref="T156" authorId="0" shapeId="0" xr:uid="{199AAF17-C1B9-42C2-B277-FD421D284D08}">
      <text>
        <r>
          <rPr>
            <sz val="9"/>
            <color indexed="81"/>
            <rFont val="Tahoma"/>
            <family val="2"/>
          </rPr>
          <t xml:space="preserve">OBS: Spillfaktor ändrad pga prefabprodukt. </t>
        </r>
      </text>
    </comment>
    <comment ref="S158" authorId="0" shapeId="0" xr:uid="{6928A20C-C636-42C7-876F-D2F465A29EE0}">
      <text>
        <r>
          <rPr>
            <sz val="9"/>
            <color indexed="81"/>
            <rFont val="Tahoma"/>
            <family val="2"/>
          </rPr>
          <t>Lastbil 30 km</t>
        </r>
      </text>
    </comment>
    <comment ref="T158" authorId="0" shapeId="0" xr:uid="{29853749-3675-4809-9B6A-8464C3DE0F6A}">
      <text>
        <r>
          <rPr>
            <sz val="9"/>
            <color indexed="81"/>
            <rFont val="Tahoma"/>
            <family val="2"/>
          </rPr>
          <t xml:space="preserve">OBS: Källan för klimatdata anger ingen spillfaktor. Detta är en antagen spillfaktor. </t>
        </r>
      </text>
    </comment>
  </commentList>
</comments>
</file>

<file path=xl/sharedStrings.xml><?xml version="1.0" encoding="utf-8"?>
<sst xmlns="http://schemas.openxmlformats.org/spreadsheetml/2006/main" count="927" uniqueCount="236">
  <si>
    <t>Röjning</t>
  </si>
  <si>
    <t>A1-A3</t>
  </si>
  <si>
    <t>A4</t>
  </si>
  <si>
    <t>A5 Spill</t>
  </si>
  <si>
    <t>A5 Energi</t>
  </si>
  <si>
    <t>RÖJNING</t>
  </si>
  <si>
    <t>SPONT</t>
  </si>
  <si>
    <t>PÅLNING</t>
  </si>
  <si>
    <t>LEDNINGAR</t>
  </si>
  <si>
    <t>HÅRDGJORDA YTOR</t>
  </si>
  <si>
    <t>Asfalt</t>
  </si>
  <si>
    <t>Spontmaskin</t>
  </si>
  <si>
    <t>Pålar</t>
  </si>
  <si>
    <t>Parkeringsräcke</t>
  </si>
  <si>
    <t>kg CO2e/m2 BTA</t>
  </si>
  <si>
    <t>Resurs</t>
  </si>
  <si>
    <t>Grävmaskin</t>
  </si>
  <si>
    <t>Källa</t>
  </si>
  <si>
    <t>Namn</t>
  </si>
  <si>
    <t>Spillfaktor</t>
  </si>
  <si>
    <t>SUMMA A1-A5 Spill</t>
  </si>
  <si>
    <t>Hjul- och bandgrävmaskin 75-130 kW (14-28 ton)</t>
  </si>
  <si>
    <t>BPI</t>
  </si>
  <si>
    <t>h</t>
  </si>
  <si>
    <t>ton</t>
  </si>
  <si>
    <t>SCHAKT, FYLLNING - YTTRE ARBETEN</t>
  </si>
  <si>
    <t>Borttransport till deponi (jord)</t>
  </si>
  <si>
    <t>Borttransport till deponi (vegetation ris)</t>
  </si>
  <si>
    <t>liter</t>
  </si>
  <si>
    <t>Bensin till handverktyg</t>
  </si>
  <si>
    <t>Borttransport till deponi (stubbar)</t>
  </si>
  <si>
    <t>Borttransport till deponi (vegetation skog)</t>
  </si>
  <si>
    <t>Boverket</t>
  </si>
  <si>
    <t>l/h</t>
  </si>
  <si>
    <t>MJ</t>
  </si>
  <si>
    <t>Nyttjande-grad (h/h)</t>
  </si>
  <si>
    <t>MJ/l</t>
  </si>
  <si>
    <t>Bensin, reduktionsplikt (2021)</t>
  </si>
  <si>
    <t>Diesel, reduktionsplikt (2021)</t>
  </si>
  <si>
    <t>MJ/ton km</t>
  </si>
  <si>
    <t>A5 Borttransport</t>
  </si>
  <si>
    <t>A5 Bort-transport</t>
  </si>
  <si>
    <t>Sträcka (km)</t>
  </si>
  <si>
    <t>Borttransport till deponi (asfalt m.m)</t>
  </si>
  <si>
    <t>Tätspont</t>
  </si>
  <si>
    <t>kg</t>
  </si>
  <si>
    <t>Mängd per m2 BYA</t>
  </si>
  <si>
    <t>m2</t>
  </si>
  <si>
    <t>m</t>
  </si>
  <si>
    <t>Hjul- och bandgrävmaskin 160-200 kW (33-40 ton)</t>
  </si>
  <si>
    <t xml:space="preserve">Grävmaskin </t>
  </si>
  <si>
    <t>SCHAKT, FYLLNING - UNDER HUSKROPP</t>
  </si>
  <si>
    <t>Geotextil</t>
  </si>
  <si>
    <t>m3</t>
  </si>
  <si>
    <t>Bergschakt Fall B</t>
  </si>
  <si>
    <t>TrV</t>
  </si>
  <si>
    <t>kg/m3</t>
  </si>
  <si>
    <t>Krossmaterial (generellt värde) inkl. avjämning och packning</t>
  </si>
  <si>
    <t>Lättfyllning lättklinker</t>
  </si>
  <si>
    <t>Schaktning med grävmaskin</t>
  </si>
  <si>
    <t>Schablonvärden (kg CO2e/m2 projektyta)</t>
  </si>
  <si>
    <t>Mängd-enhet</t>
  </si>
  <si>
    <t>Klimatdata (kg CO2e/mängdenhet)</t>
  </si>
  <si>
    <t>kg/m2</t>
  </si>
  <si>
    <t>Schablonvärden (kg CO2e/m2 BYA)</t>
  </si>
  <si>
    <t>Konstruktionsstål, alla sorter, 80 % primär råvara (exkl. objektsanpassningar)</t>
  </si>
  <si>
    <t>Schablonvärden (kg CO2e/m2 BTA)</t>
  </si>
  <si>
    <t>Betongpåle SP1</t>
  </si>
  <si>
    <t xml:space="preserve">m </t>
  </si>
  <si>
    <t>Ledning av plaströr, dränrör dim 200</t>
  </si>
  <si>
    <t>kg/m</t>
  </si>
  <si>
    <t>Ledning av plaströr, markavloppsrör dim 225</t>
  </si>
  <si>
    <t>Betongmarkplattor (50 mm)</t>
  </si>
  <si>
    <t>BM</t>
  </si>
  <si>
    <t>Sand (IVL LCR)</t>
  </si>
  <si>
    <t>Mängd per m2 BTA</t>
  </si>
  <si>
    <t>Stödmur, prefabricerad, h 1m</t>
  </si>
  <si>
    <t>VEGETATIONSYTOR</t>
  </si>
  <si>
    <t>Asfalt, ABT PMB 40 mm</t>
  </si>
  <si>
    <t>FI</t>
  </si>
  <si>
    <t>Barkflis (kuorikate)</t>
  </si>
  <si>
    <t>Betong</t>
  </si>
  <si>
    <t>Armering</t>
  </si>
  <si>
    <t>Kantsten granit 150 x 270 mm (reunakivi, graniitti)</t>
  </si>
  <si>
    <t>Fabriksbetong, husbyggnad C30/37</t>
  </si>
  <si>
    <t>Armeringsstål, obearbetad, 100 % skrotbaserad exkl legering</t>
  </si>
  <si>
    <t>Dräneringsmatta, LDPE</t>
  </si>
  <si>
    <t>Prefabricerad armerat betongelement, övrigt</t>
  </si>
  <si>
    <t>Kabelrör PE 110/95 mm (kaapelin suojaputki)</t>
  </si>
  <si>
    <t>Polypropylen, PP</t>
  </si>
  <si>
    <r>
      <rPr>
        <b/>
        <sz val="11"/>
        <rFont val="Aptos Narrow"/>
        <family val="2"/>
        <scheme val="minor"/>
      </rPr>
      <t>Arbetsmaskiner</t>
    </r>
    <r>
      <rPr>
        <sz val="11"/>
        <rFont val="Aptos Narrow"/>
        <family val="2"/>
        <scheme val="minor"/>
      </rPr>
      <t xml:space="preserve"> </t>
    </r>
  </si>
  <si>
    <t>Arbetsmaskiner</t>
  </si>
  <si>
    <r>
      <rPr>
        <b/>
        <sz val="11"/>
        <rFont val="Aptos Narrow"/>
        <family val="2"/>
        <scheme val="minor"/>
      </rPr>
      <t>Krossmaterial</t>
    </r>
    <r>
      <rPr>
        <sz val="11"/>
        <rFont val="Aptos Narrow"/>
        <family val="2"/>
        <scheme val="minor"/>
      </rPr>
      <t xml:space="preserve"> </t>
    </r>
  </si>
  <si>
    <t>Lastbil, diesel. 1,5 MJ/tonkm (30 km)</t>
  </si>
  <si>
    <r>
      <rPr>
        <b/>
        <sz val="11"/>
        <rFont val="Aptos Narrow"/>
        <family val="2"/>
        <scheme val="minor"/>
      </rPr>
      <t>Betongfundament</t>
    </r>
    <r>
      <rPr>
        <sz val="11"/>
        <rFont val="Aptos Narrow"/>
        <family val="2"/>
        <scheme val="minor"/>
      </rPr>
      <t xml:space="preserve"> </t>
    </r>
  </si>
  <si>
    <r>
      <rPr>
        <b/>
        <sz val="11"/>
        <rFont val="Aptos Narrow"/>
        <family val="2"/>
        <scheme val="minor"/>
      </rPr>
      <t>Tryckplatta</t>
    </r>
    <r>
      <rPr>
        <sz val="11"/>
        <rFont val="Aptos Narrow"/>
        <family val="2"/>
        <scheme val="minor"/>
      </rPr>
      <t xml:space="preserve"> (stål)</t>
    </r>
  </si>
  <si>
    <r>
      <rPr>
        <b/>
        <sz val="11"/>
        <rFont val="Aptos Narrow"/>
        <family val="2"/>
        <scheme val="minor"/>
      </rPr>
      <t>Igjutning</t>
    </r>
    <r>
      <rPr>
        <sz val="11"/>
        <rFont val="Aptos Narrow"/>
        <family val="2"/>
        <scheme val="minor"/>
      </rPr>
      <t xml:space="preserve"> (cement)</t>
    </r>
  </si>
  <si>
    <t>Cement, typ CEM II/A-LL 42,5 R</t>
  </si>
  <si>
    <t>Sågat virke, u 16 %, barrträ</t>
  </si>
  <si>
    <t>Stenull, markskiva</t>
  </si>
  <si>
    <t>Tunnplåt för beklädnad, 80% primär</t>
  </si>
  <si>
    <t>Galvaniserade byggstålprodukter, galvade stålprodukter, 80 % primär</t>
  </si>
  <si>
    <t xml:space="preserve">SUMMA A1-A5 </t>
  </si>
  <si>
    <t>Enhet</t>
  </si>
  <si>
    <t>kg CO2e/m2 BYA</t>
  </si>
  <si>
    <r>
      <rPr>
        <b/>
        <sz val="11"/>
        <rFont val="Aptos Narrow"/>
        <family val="2"/>
        <scheme val="minor"/>
      </rPr>
      <t>Trädfällning</t>
    </r>
    <r>
      <rPr>
        <sz val="11"/>
        <rFont val="Aptos Narrow"/>
        <family val="2"/>
        <scheme val="minor"/>
      </rPr>
      <t xml:space="preserve"> </t>
    </r>
  </si>
  <si>
    <t>Borttagning av stubbar</t>
  </si>
  <si>
    <t>Borttagning av markvegetation och jordmån</t>
  </si>
  <si>
    <t>Uppläggning och harpning</t>
  </si>
  <si>
    <t>Flyttning av anläggning</t>
  </si>
  <si>
    <t>Rivning av anläggning</t>
  </si>
  <si>
    <t>Delaktivitet</t>
  </si>
  <si>
    <r>
      <rPr>
        <b/>
        <sz val="11"/>
        <color theme="1"/>
        <rFont val="Aptos Narrow"/>
        <family val="2"/>
        <scheme val="minor"/>
      </rPr>
      <t>Spontkonstruktion</t>
    </r>
    <r>
      <rPr>
        <sz val="11"/>
        <color theme="1"/>
        <rFont val="Aptos Narrow"/>
        <family val="2"/>
        <scheme val="minor"/>
      </rPr>
      <t xml:space="preserve"> (räknas endast om kvarsittande)</t>
    </r>
  </si>
  <si>
    <r>
      <rPr>
        <b/>
        <sz val="11"/>
        <rFont val="Aptos Narrow"/>
        <family val="2"/>
        <scheme val="minor"/>
      </rPr>
      <t>Spont</t>
    </r>
    <r>
      <rPr>
        <sz val="11"/>
        <rFont val="Aptos Narrow"/>
        <family val="2"/>
        <scheme val="minor"/>
      </rPr>
      <t xml:space="preserve"> </t>
    </r>
  </si>
  <si>
    <t>Schaktmassa</t>
  </si>
  <si>
    <r>
      <rPr>
        <b/>
        <sz val="11"/>
        <rFont val="Aptos Narrow"/>
        <family val="2"/>
        <scheme val="minor"/>
      </rPr>
      <t>Jordschaktmassa</t>
    </r>
    <r>
      <rPr>
        <sz val="11"/>
        <rFont val="Aptos Narrow"/>
        <family val="2"/>
        <scheme val="minor"/>
      </rPr>
      <t xml:space="preserve"> </t>
    </r>
  </si>
  <si>
    <r>
      <rPr>
        <b/>
        <sz val="11"/>
        <rFont val="Aptos Narrow"/>
        <family val="2"/>
        <scheme val="minor"/>
      </rPr>
      <t>Fyllningsmassa</t>
    </r>
    <r>
      <rPr>
        <sz val="11"/>
        <rFont val="Aptos Narrow"/>
        <family val="2"/>
        <scheme val="minor"/>
      </rPr>
      <t xml:space="preserve"> </t>
    </r>
  </si>
  <si>
    <t>Materialskiljande lager</t>
  </si>
  <si>
    <r>
      <rPr>
        <b/>
        <sz val="11"/>
        <rFont val="Aptos Narrow"/>
        <family val="2"/>
        <scheme val="minor"/>
      </rPr>
      <t>Geotextil</t>
    </r>
    <r>
      <rPr>
        <sz val="11"/>
        <rFont val="Aptos Narrow"/>
        <family val="2"/>
        <scheme val="minor"/>
      </rPr>
      <t xml:space="preserve"> </t>
    </r>
  </si>
  <si>
    <r>
      <rPr>
        <b/>
        <sz val="11"/>
        <rFont val="Aptos Narrow"/>
        <family val="2"/>
        <scheme val="minor"/>
      </rPr>
      <t xml:space="preserve">Betonggrund i schaktbotten
</t>
    </r>
    <r>
      <rPr>
        <sz val="11"/>
        <rFont val="Aptos Narrow"/>
        <family val="2"/>
        <scheme val="minor"/>
      </rPr>
      <t>(stryk om detta ej är aktuellt)</t>
    </r>
  </si>
  <si>
    <r>
      <t xml:space="preserve">Bergschaktmassa
</t>
    </r>
    <r>
      <rPr>
        <sz val="11"/>
        <rFont val="Aptos Narrow"/>
        <family val="2"/>
        <scheme val="minor"/>
      </rPr>
      <t>(stryk om detta ej är aktuellt)</t>
    </r>
  </si>
  <si>
    <t>exkl. lättfyllnad, betonggrund i schaktbotten samt bergschakt</t>
  </si>
  <si>
    <t xml:space="preserve">Fyllningsmassa </t>
  </si>
  <si>
    <r>
      <rPr>
        <b/>
        <sz val="11"/>
        <color theme="1"/>
        <rFont val="Aptos Narrow"/>
        <family val="2"/>
        <scheme val="minor"/>
      </rPr>
      <t>Ledningar</t>
    </r>
    <r>
      <rPr>
        <sz val="11"/>
        <color theme="1"/>
        <rFont val="Aptos Narrow"/>
        <family val="2"/>
        <scheme val="minor"/>
      </rPr>
      <t xml:space="preserve"> </t>
    </r>
    <r>
      <rPr>
        <b/>
        <sz val="11"/>
        <color theme="1"/>
        <rFont val="Aptos Narrow"/>
        <family val="2"/>
        <scheme val="minor"/>
      </rPr>
      <t>i mark</t>
    </r>
  </si>
  <si>
    <r>
      <rPr>
        <b/>
        <sz val="11"/>
        <rFont val="Aptos Narrow"/>
        <family val="2"/>
        <scheme val="minor"/>
      </rPr>
      <t>Dränrör</t>
    </r>
    <r>
      <rPr>
        <sz val="11"/>
        <rFont val="Aptos Narrow"/>
        <family val="2"/>
        <scheme val="minor"/>
      </rPr>
      <t xml:space="preserve"> </t>
    </r>
  </si>
  <si>
    <r>
      <rPr>
        <b/>
        <sz val="11"/>
        <rFont val="Aptos Narrow"/>
        <family val="2"/>
        <scheme val="minor"/>
      </rPr>
      <t>Kabelrör</t>
    </r>
    <r>
      <rPr>
        <sz val="11"/>
        <rFont val="Aptos Narrow"/>
        <family val="2"/>
        <scheme val="minor"/>
      </rPr>
      <t xml:space="preserve"> </t>
    </r>
  </si>
  <si>
    <r>
      <rPr>
        <b/>
        <sz val="11"/>
        <rFont val="Aptos Narrow"/>
        <family val="2"/>
        <scheme val="minor"/>
      </rPr>
      <t>Bärlager</t>
    </r>
    <r>
      <rPr>
        <sz val="11"/>
        <rFont val="Aptos Narrow"/>
        <family val="2"/>
        <scheme val="minor"/>
      </rPr>
      <t xml:space="preserve"> </t>
    </r>
  </si>
  <si>
    <t>Stabiliserande lager</t>
  </si>
  <si>
    <t>Dagvattenmagasin</t>
  </si>
  <si>
    <r>
      <rPr>
        <b/>
        <sz val="11"/>
        <rFont val="Aptos Narrow"/>
        <family val="2"/>
        <scheme val="minor"/>
      </rPr>
      <t>Markbeläggning</t>
    </r>
    <r>
      <rPr>
        <sz val="11"/>
        <rFont val="Aptos Narrow"/>
        <family val="2"/>
        <scheme val="minor"/>
      </rPr>
      <t xml:space="preserve"> </t>
    </r>
  </si>
  <si>
    <t>Betongmarkplattor</t>
  </si>
  <si>
    <r>
      <rPr>
        <b/>
        <sz val="11"/>
        <rFont val="Aptos Narrow"/>
        <family val="2"/>
        <scheme val="minor"/>
      </rPr>
      <t>Sandyta</t>
    </r>
    <r>
      <rPr>
        <sz val="11"/>
        <rFont val="Aptos Narrow"/>
        <family val="2"/>
        <scheme val="minor"/>
      </rPr>
      <t xml:space="preserve"> </t>
    </r>
  </si>
  <si>
    <r>
      <rPr>
        <b/>
        <sz val="11"/>
        <rFont val="Aptos Narrow"/>
        <family val="2"/>
        <scheme val="minor"/>
      </rPr>
      <t>Träflis</t>
    </r>
    <r>
      <rPr>
        <sz val="11"/>
        <rFont val="Aptos Narrow"/>
        <family val="2"/>
        <scheme val="minor"/>
      </rPr>
      <t xml:space="preserve"> </t>
    </r>
  </si>
  <si>
    <t xml:space="preserve">Kantstöd av natursten </t>
  </si>
  <si>
    <t xml:space="preserve">Kantstöd av trä </t>
  </si>
  <si>
    <t>Cementfog</t>
  </si>
  <si>
    <r>
      <rPr>
        <b/>
        <sz val="11"/>
        <rFont val="Aptos Narrow"/>
        <family val="2"/>
        <scheme val="minor"/>
      </rPr>
      <t>Kantstöd</t>
    </r>
    <r>
      <rPr>
        <sz val="11"/>
        <rFont val="Aptos Narrow"/>
        <family val="2"/>
        <scheme val="minor"/>
      </rPr>
      <t xml:space="preserve"> </t>
    </r>
  </si>
  <si>
    <r>
      <rPr>
        <b/>
        <sz val="11"/>
        <rFont val="Aptos Narrow"/>
        <family val="2"/>
        <scheme val="minor"/>
      </rPr>
      <t>Fog</t>
    </r>
    <r>
      <rPr>
        <sz val="11"/>
        <rFont val="Aptos Narrow"/>
        <family val="2"/>
        <scheme val="minor"/>
      </rPr>
      <t xml:space="preserve"> </t>
    </r>
  </si>
  <si>
    <t>Sättsand</t>
  </si>
  <si>
    <t>Stödmur</t>
  </si>
  <si>
    <r>
      <rPr>
        <b/>
        <sz val="11"/>
        <rFont val="Aptos Narrow"/>
        <family val="2"/>
        <scheme val="minor"/>
      </rPr>
      <t>L-stöd</t>
    </r>
    <r>
      <rPr>
        <sz val="11"/>
        <rFont val="Aptos Narrow"/>
        <family val="2"/>
        <scheme val="minor"/>
      </rPr>
      <t xml:space="preserve"> </t>
    </r>
  </si>
  <si>
    <t>Trappsteg</t>
  </si>
  <si>
    <r>
      <rPr>
        <b/>
        <sz val="11"/>
        <rFont val="Aptos Narrow"/>
        <family val="2"/>
        <scheme val="minor"/>
      </rPr>
      <t>Blocksteg</t>
    </r>
    <r>
      <rPr>
        <sz val="11"/>
        <rFont val="Aptos Narrow"/>
        <family val="2"/>
        <scheme val="minor"/>
      </rPr>
      <t xml:space="preserve"> </t>
    </r>
  </si>
  <si>
    <t>Stenmjöl</t>
  </si>
  <si>
    <t>Växtjord</t>
  </si>
  <si>
    <t xml:space="preserve">Fukthållande matta </t>
  </si>
  <si>
    <t xml:space="preserve">Kantstöd av metall </t>
  </si>
  <si>
    <t>Dräneringslager</t>
  </si>
  <si>
    <r>
      <rPr>
        <b/>
        <sz val="11"/>
        <rFont val="Aptos Narrow"/>
        <family val="2"/>
        <scheme val="minor"/>
      </rPr>
      <t>Dräneringsmatta</t>
    </r>
    <r>
      <rPr>
        <sz val="11"/>
        <rFont val="Aptos Narrow"/>
        <family val="2"/>
        <scheme val="minor"/>
      </rPr>
      <t xml:space="preserve"> </t>
    </r>
  </si>
  <si>
    <t>Cykelställ</t>
  </si>
  <si>
    <t>Trappräcke</t>
  </si>
  <si>
    <t>Skyddsräcke</t>
  </si>
  <si>
    <t>Stötskydd</t>
  </si>
  <si>
    <t>Stängsel</t>
  </si>
  <si>
    <t>Barriär</t>
  </si>
  <si>
    <t>Markfundament</t>
  </si>
  <si>
    <t>Omräkningsfaktor</t>
  </si>
  <si>
    <t>KÄLLOR TILL KLIMATDATA</t>
  </si>
  <si>
    <t xml:space="preserve">Boverkets klimatdatabas Version 02.05.000 2024-01-25 </t>
  </si>
  <si>
    <t>https://klimatdatabasen.boverket.se/</t>
  </si>
  <si>
    <t>Trafikverkets klimatkalkyl Version 8.0 Release 2024.4</t>
  </si>
  <si>
    <t>https://klimatkalkyl.trafikverket.se/Modell</t>
  </si>
  <si>
    <t>Miljödata för arbetsfordon (Erlandsson, M. 2013)</t>
  </si>
  <si>
    <t>https://ivl.diva-portal.org/smash/get/diva2:1549896/FULLTEXT02.pdf</t>
  </si>
  <si>
    <t>SBE</t>
  </si>
  <si>
    <t>Klimatdata för geokonstruktioner, rapport U8 2020:16</t>
  </si>
  <si>
    <t>https://swedgeo.diva-portal.org/smash/get/diva2:1756945/FULLTEXT02.pdf</t>
  </si>
  <si>
    <t>https://co2data.fi/infra/</t>
  </si>
  <si>
    <t>Finlands klimatdatabas (infra) Version 01.00.007 (13.9.2024)</t>
  </si>
  <si>
    <t>Lättfyllning: Cellplast</t>
  </si>
  <si>
    <t>Lättfyllning: Skumglas</t>
  </si>
  <si>
    <t>Lättfyllning cellplast</t>
  </si>
  <si>
    <t>Lättfyllning skumglas</t>
  </si>
  <si>
    <r>
      <t xml:space="preserve">Lättfyllning: Lättklinker
</t>
    </r>
    <r>
      <rPr>
        <sz val="11"/>
        <rFont val="Aptos Narrow"/>
        <family val="2"/>
        <scheme val="minor"/>
      </rPr>
      <t>(stryk om detta ej är aktuellt)</t>
    </r>
  </si>
  <si>
    <t>Betongpåle SP2</t>
  </si>
  <si>
    <t>Träpåle dim 150 mm</t>
  </si>
  <si>
    <t>Borrad stålrörspåle, RD 170/10</t>
  </si>
  <si>
    <t>m3/m</t>
  </si>
  <si>
    <t>Grogrund, avloppsslam 3 utan torv (kasvualusta, jätevesiliete 3 ilman turvetta)</t>
  </si>
  <si>
    <t xml:space="preserve">BFB Trädfällning (Produktionsresultat) </t>
  </si>
  <si>
    <t>BFC Röjning (Produktionsresultat)</t>
  </si>
  <si>
    <t>BFD Borttagning av stubbar (Produktionsresultat)</t>
  </si>
  <si>
    <t>BFE Borttagning av markvegetation och jordmån (Produktionsresultat)</t>
  </si>
  <si>
    <t>BFF Uppläggning och lagring av tillvaratagen markvegetation och jordmån (Produktionsresultat)</t>
  </si>
  <si>
    <t>BEB.1 Flyttning av anläggning (Produktionsresultat)</t>
  </si>
  <si>
    <t>BED.1 Rivning av anläggning (Produktionsresultat)</t>
  </si>
  <si>
    <t>UFD10 eller ULL10 Spont (Komponenter)</t>
  </si>
  <si>
    <t>UTB Schaktmassa (Komponenter)</t>
  </si>
  <si>
    <t>UTA Fyllningsmassa (Komponenter)</t>
  </si>
  <si>
    <t>RQB50 Stabiliserande lager (Komponenter)</t>
  </si>
  <si>
    <t>ULC Markfundament (Komponenter)</t>
  </si>
  <si>
    <t xml:space="preserve">UTA Fyllningsmassa (Komponenter) </t>
  </si>
  <si>
    <t>ULC20 Påle (Komponenter)</t>
  </si>
  <si>
    <t xml:space="preserve">W Ledande objekt 
UBA10 Ledningssstöd (Komponenter) </t>
  </si>
  <si>
    <t>ULA Bärlager (Komponenter)</t>
  </si>
  <si>
    <t>RQB Stabiliserande lager (Komponenter)</t>
  </si>
  <si>
    <t>NCA Markbeläggning (Komponenter)</t>
  </si>
  <si>
    <t>NDA Kantstöd (Komponenter)</t>
  </si>
  <si>
    <t>UQC Fast fog (Komponenter)</t>
  </si>
  <si>
    <t>UFD Stödmur (Komponenter)</t>
  </si>
  <si>
    <t>UBC Trappsteg (Komponenter)</t>
  </si>
  <si>
    <t>UCB Växtjord (Komponenter)</t>
  </si>
  <si>
    <t>WMA Dräneringslager (Komponenter)</t>
  </si>
  <si>
    <t>UAJ Cykelställ (Komponenter)</t>
  </si>
  <si>
    <t>FQD Skyddsräcke (Komponenter)</t>
  </si>
  <si>
    <t>FNB Stötskydd (Komponenter)</t>
  </si>
  <si>
    <t>RUA Barriär (Komponenter)</t>
  </si>
  <si>
    <t>kg CO2e/m2 projektarea</t>
  </si>
  <si>
    <t>Mängd per m2 projektarea</t>
  </si>
  <si>
    <t>MARKUTRUSTNING OCH ÖVRIGT</t>
  </si>
  <si>
    <t>HUVUDAKTIVITET</t>
  </si>
  <si>
    <t>RIVNING AV ANLÄGGNING</t>
  </si>
  <si>
    <t>BF Trädfällning, röjning m m (Produktionsresultat)</t>
  </si>
  <si>
    <t>Delar av BE Flyttning, demontering och rivning (Produktionsresultat)</t>
  </si>
  <si>
    <t>CJ11 Spontkonstruktion (Konstruktiva system)</t>
  </si>
  <si>
    <t xml:space="preserve">CA Terrasskonstruktion (Konstruktiva system) - Del 1/3 </t>
  </si>
  <si>
    <t xml:space="preserve">CA Terrasskonstruktion (Konstruktiva system) - Del 2/3 </t>
  </si>
  <si>
    <t xml:space="preserve">CA Terrasskonstruktion (Konstruktiva system) - Del 3/3 </t>
  </si>
  <si>
    <t>CH Ledningsförläggning (Konstruktiva system) + CN Tunnel- och bergrumsgeometri (Konstruktiva system)</t>
  </si>
  <si>
    <t>CB Överbyggnad för väg och plan (Konstruktiva system)</t>
  </si>
  <si>
    <t>CF Överbyggnad för vegetationsyta (Konstruktiva system)</t>
  </si>
  <si>
    <t>R Kompletterande system (Konstruktiva system)</t>
  </si>
  <si>
    <t>CoClass (potentiell kategorisering)</t>
  </si>
  <si>
    <t>INFORMATION</t>
  </si>
  <si>
    <t>Bilaga till slutrapport för SBUF 14277 Klimatpåverkan från markarbete och markförstärkning</t>
  </si>
  <si>
    <t>Markrör:  HDPE 225 mm</t>
  </si>
  <si>
    <t>Rör PP 200 mm, 6M, SN8 (putki, muoviputki)</t>
  </si>
  <si>
    <t>Hammarband</t>
  </si>
  <si>
    <t>Stag</t>
  </si>
  <si>
    <t xml:space="preserve">Schablonrecept har tagits fram för 10 huvudaktiviteter (t ex 1. Röjning) som i sin tur inrymmer olika antal delaktiviteter (t ex Trädfällning) vilka i sin tur innehåller underliggande resursanvändningsposter (t ex Grävmaskin) som mappats mot föreslagna klimatdata utifrån bästa val vid det tillfälle projektet pågick (kolumnerna för Klimatdata).
Mängderna för de olika resursanvändningsposterna har plockats från fallstudierna enligt maxprincipen eller individuell bedömning som beskrivs i Bilaga 2. Mängder för olika resursanvändningsposter kan variera men relateras alltid till den enhet som projektet ansatt för respektive huvudaktivitet (t ex per m2 projektarea). Slutligen syns resulterande schablonvärden fördelat på olika livscykelmoduler och delaktiviteter (kolumnerna för Schablonvärden).
</t>
  </si>
  <si>
    <t>4a</t>
  </si>
  <si>
    <t>4b</t>
  </si>
  <si>
    <t>SCHAKT, FYLLNING - UNDER HUSKROPP EXKL. LÄTTFYLLNING, BETONGGRUND I SCHAKTBOTTEN SAMT BERGSCHAKT</t>
  </si>
  <si>
    <t>BILAGA 3 SCHABLONRECEPT</t>
  </si>
  <si>
    <t>Markrör: PP 200 mm</t>
  </si>
  <si>
    <t xml:space="preserve">Utöver att använda schablonvärdena rakt av från recepten, kan recepten anpassas utifrån mer projektspecifika förhållanden, eller då exempelvis bättre klimatdata finns tillgängliga. Justera då receptens schablonvärden genom att nolla eller ändra mängden i kolumnen D  (mängd per ytenhet). Först och främst kan det vara baserat på om gulmarkerade delaktiviteter i aktivitet 4 inte kommer att förekomma i projektet. Ett alternativt schablonvärde för aktivitet 4 utan dessa delar visas som aktivitet 4b (rad 17). Motsvarande anpassning kan göras om man för någon delaktivitet har tillgång till mer projektspecifika mängder redan i tidigt skede. Om man vill laborera med mer projektspecifika produktval, eller testa hur olika materialval kan påverka resultatet, kan klimatdata bytas ut för relevant rad. Tomma rader  (nollställda mängder) har lagts till för lättfyllning, pålar och markrör för detta ändamål.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</si>
</sst>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12" x14ac:knownFonts="1">
    <font>
      <sz val="11"/>
      <color theme="1"/>
      <name val="Aptos Narrow"/>
      <family val="2"/>
      <scheme val="minor"/>
    </font>
    <font>
      <sz val="11"/>
      <color theme="1"/>
      <name val="Aptos Narrow"/>
      <family val="2"/>
      <scheme val="minor"/>
    </font>
    <font>
      <sz val="11"/>
      <color rgb="FF3F3F76"/>
      <name val="Aptos Narrow"/>
      <family val="2"/>
      <scheme val="minor"/>
    </font>
    <font>
      <b/>
      <sz val="11"/>
      <color theme="0"/>
      <name val="Aptos Narrow"/>
      <family val="2"/>
      <scheme val="minor"/>
    </font>
    <font>
      <b/>
      <sz val="11"/>
      <color theme="1"/>
      <name val="Aptos Narrow"/>
      <family val="2"/>
      <scheme val="minor"/>
    </font>
    <font>
      <b/>
      <sz val="18"/>
      <color theme="0"/>
      <name val="Aptos Narrow"/>
      <family val="2"/>
      <scheme val="minor"/>
    </font>
    <font>
      <sz val="11"/>
      <name val="Aptos Narrow"/>
      <family val="2"/>
      <scheme val="minor"/>
    </font>
    <font>
      <sz val="9"/>
      <color indexed="81"/>
      <name val="Tahoma"/>
      <family val="2"/>
    </font>
    <font>
      <b/>
      <sz val="11"/>
      <name val="Aptos Narrow"/>
      <family val="2"/>
      <scheme val="minor"/>
    </font>
    <font>
      <b/>
      <strike/>
      <sz val="11"/>
      <color theme="1"/>
      <name val="Aptos Narrow"/>
      <family val="2"/>
      <scheme val="minor"/>
    </font>
    <font>
      <strike/>
      <sz val="11"/>
      <color theme="1"/>
      <name val="Aptos Narrow"/>
      <family val="2"/>
      <scheme val="minor"/>
    </font>
    <font>
      <u/>
      <sz val="11"/>
      <color theme="10"/>
      <name val="Aptos Narrow"/>
      <family val="2"/>
      <scheme val="minor"/>
    </font>
  </fonts>
  <fills count="15">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8C8886"/>
        <bgColor indexed="64"/>
      </patternFill>
    </fill>
    <fill>
      <patternFill patternType="solid">
        <fgColor rgb="FFFFE6B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rgb="FFFFFF00"/>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2" borderId="1" applyNumberFormat="0" applyAlignment="0" applyProtection="0"/>
    <xf numFmtId="0" fontId="11" fillId="0" borderId="0" applyNumberFormat="0" applyFill="0" applyBorder="0" applyAlignment="0" applyProtection="0"/>
  </cellStyleXfs>
  <cellXfs count="129">
    <xf numFmtId="0" fontId="0" fillId="0" borderId="0" xfId="0"/>
    <xf numFmtId="0" fontId="0" fillId="3" borderId="0" xfId="0" applyFill="1"/>
    <xf numFmtId="0" fontId="0" fillId="3" borderId="0" xfId="0" applyFill="1" applyAlignment="1">
      <alignment vertical="top" wrapText="1"/>
    </xf>
    <xf numFmtId="0" fontId="0" fillId="3" borderId="0" xfId="0" applyFill="1" applyAlignment="1">
      <alignment vertical="top"/>
    </xf>
    <xf numFmtId="0" fontId="5" fillId="4" borderId="0" xfId="0" applyFont="1" applyFill="1" applyAlignment="1">
      <alignment horizontal="left" vertical="top"/>
    </xf>
    <xf numFmtId="0" fontId="4" fillId="4" borderId="0" xfId="0" applyFont="1" applyFill="1" applyAlignment="1">
      <alignment horizontal="left"/>
    </xf>
    <xf numFmtId="0" fontId="4" fillId="3" borderId="0" xfId="0" applyFont="1" applyFill="1"/>
    <xf numFmtId="1" fontId="6" fillId="5" borderId="2" xfId="0" applyNumberFormat="1" applyFont="1" applyFill="1" applyBorder="1" applyAlignment="1">
      <alignment horizontal="left" vertical="center" wrapText="1"/>
    </xf>
    <xf numFmtId="1" fontId="6" fillId="5" borderId="2" xfId="0" applyNumberFormat="1" applyFont="1" applyFill="1" applyBorder="1" applyAlignment="1">
      <alignment horizontal="left" vertical="center"/>
    </xf>
    <xf numFmtId="0" fontId="0" fillId="3" borderId="0" xfId="0" applyFill="1" applyAlignment="1">
      <alignment vertical="center"/>
    </xf>
    <xf numFmtId="165" fontId="6" fillId="5" borderId="3" xfId="1" applyNumberFormat="1" applyFont="1" applyFill="1" applyBorder="1" applyAlignment="1">
      <alignment horizontal="left" vertical="center" wrapText="1"/>
    </xf>
    <xf numFmtId="0" fontId="4" fillId="3" borderId="0" xfId="0" applyFont="1" applyFill="1" applyAlignment="1">
      <alignment vertical="center"/>
    </xf>
    <xf numFmtId="1" fontId="6" fillId="5" borderId="4" xfId="0" applyNumberFormat="1"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vertical="center" wrapText="1"/>
    </xf>
    <xf numFmtId="0" fontId="6" fillId="5" borderId="2" xfId="2" applyNumberFormat="1" applyFont="1" applyFill="1" applyBorder="1" applyAlignment="1">
      <alignment horizontal="left" vertical="center" wrapText="1"/>
    </xf>
    <xf numFmtId="9" fontId="6" fillId="5" borderId="2" xfId="1"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2" xfId="0" applyFont="1" applyFill="1" applyBorder="1" applyAlignment="1">
      <alignment horizontal="left" vertical="center" wrapText="1"/>
    </xf>
    <xf numFmtId="165" fontId="6" fillId="5" borderId="2" xfId="1" applyNumberFormat="1" applyFont="1" applyFill="1" applyBorder="1" applyAlignment="1">
      <alignment horizontal="left" vertical="center" wrapText="1"/>
    </xf>
    <xf numFmtId="164" fontId="6" fillId="5" borderId="2" xfId="1" applyNumberFormat="1" applyFont="1" applyFill="1" applyBorder="1" applyAlignment="1">
      <alignment horizontal="left" vertical="center" wrapText="1"/>
    </xf>
    <xf numFmtId="165" fontId="6" fillId="5" borderId="2" xfId="0" applyNumberFormat="1" applyFont="1" applyFill="1" applyBorder="1" applyAlignment="1">
      <alignment horizontal="left" vertical="center" wrapText="1"/>
    </xf>
    <xf numFmtId="2" fontId="6" fillId="5" borderId="2" xfId="1" applyNumberFormat="1" applyFont="1" applyFill="1" applyBorder="1" applyAlignment="1">
      <alignment horizontal="left" vertical="center" wrapText="1"/>
    </xf>
    <xf numFmtId="166" fontId="6" fillId="5" borderId="2" xfId="1" applyNumberFormat="1" applyFont="1" applyFill="1" applyBorder="1" applyAlignment="1">
      <alignment horizontal="left" vertical="center" wrapText="1"/>
    </xf>
    <xf numFmtId="2" fontId="6" fillId="5" borderId="2" xfId="0" applyNumberFormat="1" applyFont="1" applyFill="1" applyBorder="1" applyAlignment="1">
      <alignment horizontal="left" vertical="center" wrapText="1"/>
    </xf>
    <xf numFmtId="167" fontId="6" fillId="5" borderId="2" xfId="1" applyNumberFormat="1" applyFont="1" applyFill="1" applyBorder="1" applyAlignment="1">
      <alignment horizontal="left" vertical="center" wrapText="1"/>
    </xf>
    <xf numFmtId="1" fontId="6" fillId="5" borderId="2" xfId="1" applyNumberFormat="1" applyFont="1" applyFill="1" applyBorder="1" applyAlignment="1">
      <alignment horizontal="left" vertical="center" wrapText="1"/>
    </xf>
    <xf numFmtId="1" fontId="6" fillId="5" borderId="5" xfId="0" applyNumberFormat="1" applyFont="1" applyFill="1" applyBorder="1" applyAlignment="1">
      <alignment horizontal="left" vertical="center" wrapText="1"/>
    </xf>
    <xf numFmtId="165" fontId="6" fillId="3" borderId="0" xfId="1" applyNumberFormat="1" applyFont="1" applyFill="1" applyBorder="1" applyAlignment="1">
      <alignment horizontal="left" vertical="center" wrapText="1"/>
    </xf>
    <xf numFmtId="165" fontId="6" fillId="3" borderId="0" xfId="0" applyNumberFormat="1" applyFont="1" applyFill="1" applyAlignment="1">
      <alignment horizontal="left" vertical="center" wrapText="1"/>
    </xf>
    <xf numFmtId="0" fontId="3" fillId="3" borderId="0" xfId="0" applyFont="1" applyFill="1" applyAlignment="1">
      <alignment horizontal="center" vertical="center" wrapText="1"/>
    </xf>
    <xf numFmtId="0" fontId="3" fillId="6" borderId="3" xfId="0" applyFont="1" applyFill="1" applyBorder="1" applyAlignment="1">
      <alignment vertical="center" wrapText="1"/>
    </xf>
    <xf numFmtId="0" fontId="3" fillId="3" borderId="0" xfId="0" applyFont="1" applyFill="1" applyAlignment="1">
      <alignment vertical="center" wrapText="1"/>
    </xf>
    <xf numFmtId="0" fontId="0" fillId="3" borderId="0" xfId="0" applyFill="1" applyAlignment="1">
      <alignment horizontal="left"/>
    </xf>
    <xf numFmtId="0" fontId="4" fillId="0" borderId="0" xfId="0" applyFont="1"/>
    <xf numFmtId="0" fontId="3" fillId="9" borderId="2" xfId="0" applyFont="1" applyFill="1" applyBorder="1" applyAlignment="1">
      <alignment horizontal="center" vertical="center" wrapText="1"/>
    </xf>
    <xf numFmtId="1" fontId="6" fillId="5" borderId="2" xfId="0" applyNumberFormat="1" applyFont="1" applyFill="1" applyBorder="1" applyAlignment="1">
      <alignment vertical="center" wrapText="1"/>
    </xf>
    <xf numFmtId="1" fontId="6" fillId="5" borderId="6" xfId="0" applyNumberFormat="1" applyFont="1" applyFill="1" applyBorder="1" applyAlignment="1">
      <alignment horizontal="left" vertical="center" wrapText="1"/>
    </xf>
    <xf numFmtId="165" fontId="3" fillId="9" borderId="2" xfId="0" applyNumberFormat="1" applyFont="1" applyFill="1" applyBorder="1"/>
    <xf numFmtId="1" fontId="3" fillId="9" borderId="2" xfId="0" applyNumberFormat="1" applyFont="1" applyFill="1" applyBorder="1"/>
    <xf numFmtId="1" fontId="6" fillId="5" borderId="4" xfId="0" applyNumberFormat="1" applyFont="1" applyFill="1" applyBorder="1" applyAlignment="1">
      <alignment vertical="center" wrapText="1"/>
    </xf>
    <xf numFmtId="0" fontId="10" fillId="3" borderId="0" xfId="0" applyFont="1" applyFill="1" applyAlignment="1">
      <alignment vertical="top"/>
    </xf>
    <xf numFmtId="0" fontId="9" fillId="3" borderId="0" xfId="0" applyFont="1" applyFill="1" applyAlignment="1">
      <alignment vertical="top"/>
    </xf>
    <xf numFmtId="1" fontId="8" fillId="5" borderId="4" xfId="0" applyNumberFormat="1" applyFont="1" applyFill="1" applyBorder="1" applyAlignment="1">
      <alignment horizontal="left" vertical="center" wrapText="1"/>
    </xf>
    <xf numFmtId="1" fontId="8" fillId="5" borderId="2" xfId="0" applyNumberFormat="1" applyFont="1" applyFill="1" applyBorder="1" applyAlignment="1">
      <alignment horizontal="left" vertical="center" wrapText="1"/>
    </xf>
    <xf numFmtId="0" fontId="8" fillId="5" borderId="2" xfId="0" applyFont="1" applyFill="1" applyBorder="1" applyAlignment="1">
      <alignment vertical="center" wrapText="1"/>
    </xf>
    <xf numFmtId="0" fontId="0" fillId="8" borderId="0" xfId="0" applyFill="1" applyAlignment="1">
      <alignment horizontal="left"/>
    </xf>
    <xf numFmtId="0" fontId="0" fillId="12" borderId="0" xfId="0" applyFill="1" applyAlignment="1">
      <alignment horizontal="left"/>
    </xf>
    <xf numFmtId="0" fontId="0" fillId="13" borderId="0" xfId="0" applyFill="1" applyAlignment="1">
      <alignment horizontal="left"/>
    </xf>
    <xf numFmtId="1" fontId="3" fillId="8" borderId="2" xfId="0" applyNumberFormat="1" applyFont="1" applyFill="1" applyBorder="1"/>
    <xf numFmtId="165" fontId="3" fillId="8" borderId="2" xfId="0" applyNumberFormat="1" applyFont="1" applyFill="1" applyBorder="1"/>
    <xf numFmtId="0" fontId="3" fillId="8"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1" fontId="3" fillId="12" borderId="2" xfId="0" applyNumberFormat="1" applyFont="1" applyFill="1" applyBorder="1"/>
    <xf numFmtId="0" fontId="3" fillId="13" borderId="2" xfId="0" applyFont="1" applyFill="1" applyBorder="1" applyAlignment="1">
      <alignment horizontal="center" vertical="center" wrapText="1"/>
    </xf>
    <xf numFmtId="0" fontId="3" fillId="9" borderId="2" xfId="0" applyFont="1" applyFill="1" applyBorder="1" applyAlignment="1">
      <alignment vertical="center" wrapText="1"/>
    </xf>
    <xf numFmtId="1" fontId="0" fillId="10" borderId="0" xfId="0" applyNumberFormat="1" applyFill="1"/>
    <xf numFmtId="1" fontId="8" fillId="10" borderId="2" xfId="0" applyNumberFormat="1" applyFont="1" applyFill="1" applyBorder="1" applyAlignment="1">
      <alignment horizontal="left" vertical="center" wrapText="1"/>
    </xf>
    <xf numFmtId="165" fontId="6" fillId="3" borderId="8" xfId="1" applyNumberFormat="1" applyFont="1" applyFill="1" applyBorder="1" applyAlignment="1">
      <alignment horizontal="left" vertical="center" wrapText="1"/>
    </xf>
    <xf numFmtId="1" fontId="8" fillId="5" borderId="4" xfId="0" applyNumberFormat="1" applyFont="1" applyFill="1" applyBorder="1" applyAlignment="1">
      <alignment vertical="center" wrapText="1"/>
    </xf>
    <xf numFmtId="1" fontId="8" fillId="5" borderId="6" xfId="0" applyNumberFormat="1" applyFont="1" applyFill="1" applyBorder="1" applyAlignment="1">
      <alignment horizontal="left" vertical="center" wrapText="1"/>
    </xf>
    <xf numFmtId="1" fontId="8" fillId="5" borderId="2" xfId="0" applyNumberFormat="1" applyFont="1" applyFill="1" applyBorder="1" applyAlignment="1">
      <alignment vertical="center" wrapText="1"/>
    </xf>
    <xf numFmtId="1" fontId="8" fillId="5" borderId="2" xfId="1" applyNumberFormat="1" applyFont="1" applyFill="1" applyBorder="1" applyAlignment="1">
      <alignment horizontal="left" vertical="center" wrapText="1"/>
    </xf>
    <xf numFmtId="0" fontId="3" fillId="3" borderId="9" xfId="0" applyFont="1" applyFill="1" applyBorder="1" applyAlignment="1">
      <alignment vertical="center" wrapText="1"/>
    </xf>
    <xf numFmtId="1" fontId="6" fillId="3" borderId="9" xfId="0" applyNumberFormat="1" applyFont="1" applyFill="1" applyBorder="1" applyAlignment="1">
      <alignment horizontal="left" vertical="center" wrapText="1"/>
    </xf>
    <xf numFmtId="165" fontId="6" fillId="3" borderId="9" xfId="1" applyNumberFormat="1" applyFont="1" applyFill="1" applyBorder="1" applyAlignment="1">
      <alignment horizontal="left" vertical="center" wrapText="1"/>
    </xf>
    <xf numFmtId="1" fontId="6" fillId="8" borderId="2" xfId="0" applyNumberFormat="1" applyFont="1" applyFill="1" applyBorder="1" applyAlignment="1">
      <alignment horizontal="left" vertical="center" wrapText="1"/>
    </xf>
    <xf numFmtId="1" fontId="6" fillId="12" borderId="2" xfId="0" applyNumberFormat="1" applyFont="1" applyFill="1" applyBorder="1" applyAlignment="1">
      <alignment horizontal="left" vertical="center" wrapText="1"/>
    </xf>
    <xf numFmtId="1" fontId="6" fillId="13" borderId="2" xfId="0" applyNumberFormat="1" applyFont="1" applyFill="1" applyBorder="1" applyAlignment="1">
      <alignment horizontal="left" vertical="center" wrapText="1"/>
    </xf>
    <xf numFmtId="0" fontId="3" fillId="9" borderId="2" xfId="0" applyFont="1" applyFill="1" applyBorder="1" applyAlignment="1">
      <alignment horizontal="left" vertical="center" wrapText="1"/>
    </xf>
    <xf numFmtId="0" fontId="11" fillId="0" borderId="0" xfId="3"/>
    <xf numFmtId="0" fontId="11" fillId="3" borderId="0" xfId="3" applyFill="1"/>
    <xf numFmtId="0" fontId="3" fillId="3" borderId="8" xfId="0" applyFont="1" applyFill="1" applyBorder="1" applyAlignment="1">
      <alignment vertical="center" wrapText="1"/>
    </xf>
    <xf numFmtId="1" fontId="6" fillId="3" borderId="8" xfId="0" applyNumberFormat="1" applyFont="1" applyFill="1" applyBorder="1" applyAlignment="1">
      <alignment horizontal="left" vertical="center" wrapText="1"/>
    </xf>
    <xf numFmtId="1" fontId="8" fillId="14" borderId="2" xfId="0" applyNumberFormat="1" applyFont="1" applyFill="1" applyBorder="1" applyAlignment="1">
      <alignment horizontal="left" vertical="center" wrapText="1"/>
    </xf>
    <xf numFmtId="165" fontId="6" fillId="14" borderId="2" xfId="1" applyNumberFormat="1" applyFont="1" applyFill="1" applyBorder="1" applyAlignment="1">
      <alignment horizontal="left" vertical="center" wrapText="1"/>
    </xf>
    <xf numFmtId="1" fontId="6" fillId="14" borderId="2" xfId="0" applyNumberFormat="1" applyFont="1" applyFill="1" applyBorder="1" applyAlignment="1">
      <alignment horizontal="left" vertical="center" wrapText="1"/>
    </xf>
    <xf numFmtId="1" fontId="6" fillId="14" borderId="2" xfId="1" applyNumberFormat="1" applyFont="1" applyFill="1" applyBorder="1" applyAlignment="1">
      <alignment horizontal="left" vertical="center" wrapText="1"/>
    </xf>
    <xf numFmtId="165" fontId="6" fillId="14" borderId="2" xfId="0" applyNumberFormat="1" applyFont="1" applyFill="1" applyBorder="1" applyAlignment="1">
      <alignment horizontal="left" vertical="center" wrapText="1"/>
    </xf>
    <xf numFmtId="9" fontId="6" fillId="14" borderId="2" xfId="1" applyFont="1" applyFill="1" applyBorder="1" applyAlignment="1">
      <alignment horizontal="left" vertical="center" wrapText="1"/>
    </xf>
    <xf numFmtId="0" fontId="6" fillId="14" borderId="2" xfId="0" applyFont="1" applyFill="1" applyBorder="1" applyAlignment="1">
      <alignment horizontal="left" vertical="center" wrapText="1"/>
    </xf>
    <xf numFmtId="2" fontId="6" fillId="14" borderId="2" xfId="1" applyNumberFormat="1" applyFont="1" applyFill="1" applyBorder="1" applyAlignment="1">
      <alignment horizontal="left" vertical="center" wrapText="1"/>
    </xf>
    <xf numFmtId="2" fontId="6" fillId="14" borderId="2" xfId="0" applyNumberFormat="1" applyFont="1" applyFill="1" applyBorder="1" applyAlignment="1">
      <alignment horizontal="left" vertical="center" wrapText="1"/>
    </xf>
    <xf numFmtId="166" fontId="6" fillId="14" borderId="2" xfId="1" applyNumberFormat="1" applyFont="1" applyFill="1" applyBorder="1" applyAlignment="1">
      <alignment horizontal="left" vertical="center" wrapText="1"/>
    </xf>
    <xf numFmtId="1" fontId="3" fillId="13" borderId="2" xfId="0" applyNumberFormat="1" applyFont="1" applyFill="1" applyBorder="1"/>
    <xf numFmtId="165" fontId="3" fillId="11" borderId="2" xfId="0" applyNumberFormat="1" applyFont="1" applyFill="1" applyBorder="1"/>
    <xf numFmtId="1" fontId="3" fillId="11" borderId="2" xfId="0" applyNumberFormat="1" applyFont="1" applyFill="1" applyBorder="1"/>
    <xf numFmtId="2" fontId="6" fillId="5" borderId="2" xfId="0" applyNumberFormat="1" applyFont="1" applyFill="1" applyBorder="1" applyAlignment="1">
      <alignment horizontal="left" vertical="center"/>
    </xf>
    <xf numFmtId="2" fontId="3" fillId="9" borderId="2" xfId="0" applyNumberFormat="1" applyFont="1" applyFill="1" applyBorder="1"/>
    <xf numFmtId="0" fontId="6" fillId="5" borderId="2" xfId="0" applyFont="1" applyFill="1" applyBorder="1" applyAlignment="1">
      <alignment vertical="center" wrapText="1"/>
    </xf>
    <xf numFmtId="0" fontId="4" fillId="0" borderId="7" xfId="0" applyFont="1" applyBorder="1" applyAlignment="1">
      <alignment horizontal="left"/>
    </xf>
    <xf numFmtId="0" fontId="11" fillId="3" borderId="0" xfId="3" applyFill="1" applyAlignment="1">
      <alignment vertical="top"/>
    </xf>
    <xf numFmtId="0" fontId="3" fillId="4" borderId="0" xfId="0" applyFont="1" applyFill="1" applyAlignment="1">
      <alignment horizontal="left" vertical="center"/>
    </xf>
    <xf numFmtId="165" fontId="6" fillId="5" borderId="10" xfId="1" applyNumberFormat="1" applyFont="1" applyFill="1" applyBorder="1" applyAlignment="1">
      <alignment horizontal="left" vertical="center" wrapText="1"/>
    </xf>
    <xf numFmtId="0" fontId="0" fillId="5" borderId="0" xfId="0" applyFill="1" applyAlignment="1">
      <alignment wrapText="1"/>
    </xf>
    <xf numFmtId="165" fontId="6" fillId="14" borderId="3" xfId="1" applyNumberFormat="1" applyFont="1" applyFill="1" applyBorder="1" applyAlignment="1">
      <alignment horizontal="left" vertical="center" wrapText="1"/>
    </xf>
    <xf numFmtId="0" fontId="0" fillId="3" borderId="0" xfId="0" applyFill="1" applyAlignment="1">
      <alignment horizontal="right" vertical="center"/>
    </xf>
    <xf numFmtId="1" fontId="8" fillId="14" borderId="4" xfId="0" applyNumberFormat="1" applyFont="1" applyFill="1" applyBorder="1" applyAlignment="1">
      <alignment horizontal="left" vertical="center" wrapText="1"/>
    </xf>
    <xf numFmtId="165" fontId="6" fillId="5" borderId="2" xfId="1" applyNumberFormat="1" applyFont="1" applyFill="1" applyBorder="1" applyAlignment="1">
      <alignment horizontal="left" vertical="center" wrapText="1"/>
    </xf>
    <xf numFmtId="1" fontId="6" fillId="5" borderId="2" xfId="0" applyNumberFormat="1" applyFont="1" applyFill="1" applyBorder="1" applyAlignment="1">
      <alignment horizontal="left" vertical="center" wrapText="1"/>
    </xf>
    <xf numFmtId="0" fontId="0" fillId="3" borderId="0" xfId="0" applyFill="1" applyAlignment="1">
      <alignment horizontal="left" vertical="top" wrapText="1"/>
    </xf>
    <xf numFmtId="0" fontId="0" fillId="3" borderId="0" xfId="0" applyFill="1" applyAlignment="1">
      <alignment horizontal="left" vertical="center" wrapText="1"/>
    </xf>
    <xf numFmtId="1" fontId="6" fillId="5" borderId="4" xfId="0" applyNumberFormat="1" applyFont="1" applyFill="1" applyBorder="1" applyAlignment="1">
      <alignment horizontal="left" vertical="center" wrapText="1"/>
    </xf>
    <xf numFmtId="1" fontId="6" fillId="5" borderId="6" xfId="0" applyNumberFormat="1" applyFont="1" applyFill="1" applyBorder="1" applyAlignment="1">
      <alignment horizontal="left" vertical="center" wrapText="1"/>
    </xf>
    <xf numFmtId="0" fontId="6" fillId="5" borderId="2" xfId="0" applyFont="1" applyFill="1" applyBorder="1" applyAlignment="1">
      <alignment horizontal="left" vertical="center" wrapText="1"/>
    </xf>
    <xf numFmtId="0" fontId="0" fillId="5" borderId="2" xfId="0" applyFill="1" applyBorder="1" applyAlignment="1">
      <alignment horizontal="left" vertical="center" wrapText="1"/>
    </xf>
    <xf numFmtId="1" fontId="6" fillId="5" borderId="2" xfId="1" applyNumberFormat="1" applyFont="1" applyFill="1" applyBorder="1" applyAlignment="1">
      <alignment horizontal="left" vertical="center" wrapText="1"/>
    </xf>
    <xf numFmtId="0" fontId="3" fillId="6" borderId="2" xfId="0" applyFont="1" applyFill="1" applyBorder="1" applyAlignment="1">
      <alignment horizontal="center" vertical="center" wrapText="1"/>
    </xf>
    <xf numFmtId="166" fontId="6" fillId="5" borderId="2" xfId="1" applyNumberFormat="1" applyFont="1" applyFill="1" applyBorder="1" applyAlignment="1">
      <alignment horizontal="left" vertical="center" wrapText="1"/>
    </xf>
    <xf numFmtId="2" fontId="6" fillId="5" borderId="2" xfId="1" applyNumberFormat="1" applyFont="1" applyFill="1" applyBorder="1" applyAlignment="1">
      <alignment horizontal="left" vertical="center" wrapText="1"/>
    </xf>
    <xf numFmtId="1" fontId="6" fillId="5" borderId="5" xfId="0" applyNumberFormat="1"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6" xfId="0" applyFill="1" applyBorder="1" applyAlignment="1">
      <alignment horizontal="left" vertical="center" wrapText="1"/>
    </xf>
    <xf numFmtId="0" fontId="0" fillId="7" borderId="7" xfId="0" applyFill="1" applyBorder="1" applyAlignment="1">
      <alignment horizontal="left"/>
    </xf>
    <xf numFmtId="0" fontId="0" fillId="8" borderId="0" xfId="0" applyFill="1" applyAlignment="1">
      <alignment horizontal="left"/>
    </xf>
    <xf numFmtId="1" fontId="8" fillId="5" borderId="2" xfId="0" applyNumberFormat="1" applyFont="1" applyFill="1" applyBorder="1" applyAlignment="1">
      <alignment horizontal="left" vertical="center" wrapText="1"/>
    </xf>
    <xf numFmtId="0" fontId="0" fillId="12" borderId="0" xfId="0" applyFill="1" applyAlignment="1">
      <alignment horizontal="left"/>
    </xf>
    <xf numFmtId="165" fontId="6" fillId="5" borderId="2"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165" fontId="6" fillId="5" borderId="4" xfId="1" applyNumberFormat="1" applyFont="1" applyFill="1" applyBorder="1" applyAlignment="1">
      <alignment horizontal="left" vertical="center" wrapText="1"/>
    </xf>
    <xf numFmtId="165" fontId="6" fillId="5" borderId="5" xfId="1" applyNumberFormat="1" applyFont="1" applyFill="1" applyBorder="1" applyAlignment="1">
      <alignment horizontal="left" vertical="center" wrapText="1"/>
    </xf>
    <xf numFmtId="165" fontId="6" fillId="5" borderId="4" xfId="0" applyNumberFormat="1" applyFont="1" applyFill="1" applyBorder="1" applyAlignment="1">
      <alignment horizontal="left" vertical="center" wrapText="1"/>
    </xf>
    <xf numFmtId="165" fontId="6" fillId="5" borderId="5" xfId="0" applyNumberFormat="1" applyFont="1" applyFill="1" applyBorder="1" applyAlignment="1">
      <alignment horizontal="left" vertical="center" wrapText="1"/>
    </xf>
    <xf numFmtId="0" fontId="0" fillId="13" borderId="0" xfId="0" applyFill="1" applyAlignment="1">
      <alignment horizontal="left"/>
    </xf>
    <xf numFmtId="1" fontId="8" fillId="5" borderId="4" xfId="0" applyNumberFormat="1" applyFont="1" applyFill="1" applyBorder="1" applyAlignment="1">
      <alignment horizontal="left" vertical="center" wrapText="1"/>
    </xf>
    <xf numFmtId="1" fontId="8" fillId="5" borderId="5" xfId="0" applyNumberFormat="1" applyFont="1" applyFill="1" applyBorder="1" applyAlignment="1">
      <alignment horizontal="left" vertical="center" wrapText="1"/>
    </xf>
    <xf numFmtId="1" fontId="6" fillId="10" borderId="2" xfId="1" applyNumberFormat="1" applyFont="1" applyFill="1" applyBorder="1" applyAlignment="1">
      <alignment horizontal="left" vertical="center" wrapText="1"/>
    </xf>
  </cellXfs>
  <cellStyles count="4">
    <cellStyle name="Hyperlänk" xfId="3" builtinId="8"/>
    <cellStyle name="Indata" xfId="2" builtinId="20"/>
    <cellStyle name="Normal" xfId="0" builtinId="0"/>
    <cellStyle name="Procent" xfId="1" builtinId="5"/>
  </cellStyles>
  <dxfs count="0"/>
  <tableStyles count="0" defaultTableStyle="TableStyleMedium2" defaultPivotStyle="PivotStyleLight16"/>
  <colors>
    <mruColors>
      <color rgb="FFFFE6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wedgeo.diva-portal.org/smash/get/diva2:1756945/FULLTEXT02.pdf" TargetMode="External"/><Relationship Id="rId7" Type="http://schemas.openxmlformats.org/officeDocument/2006/relationships/vmlDrawing" Target="../drawings/vmlDrawing1.vml"/><Relationship Id="rId2" Type="http://schemas.openxmlformats.org/officeDocument/2006/relationships/hyperlink" Target="https://ivl.diva-portal.org/smash/get/diva2:1549896/FULLTEXT02.pdf" TargetMode="External"/><Relationship Id="rId1" Type="http://schemas.openxmlformats.org/officeDocument/2006/relationships/hyperlink" Target="https://klimatkalkyl.trafikverket.se/Modell" TargetMode="External"/><Relationship Id="rId6" Type="http://schemas.openxmlformats.org/officeDocument/2006/relationships/printerSettings" Target="../printerSettings/printerSettings1.bin"/><Relationship Id="rId5" Type="http://schemas.openxmlformats.org/officeDocument/2006/relationships/hyperlink" Target="https://co2data.fi/infra/" TargetMode="External"/><Relationship Id="rId4" Type="http://schemas.openxmlformats.org/officeDocument/2006/relationships/hyperlink" Target="https://klimatdatabasen.boverket.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8555-AEEB-4771-997C-B7D39FB162C2}">
  <dimension ref="A2:AC169"/>
  <sheetViews>
    <sheetView tabSelected="1" topLeftCell="A126" zoomScale="66" zoomScaleNormal="50" workbookViewId="0">
      <selection activeCell="V154" sqref="V154"/>
    </sheetView>
  </sheetViews>
  <sheetFormatPr defaultColWidth="8.7265625" defaultRowHeight="14.5" x14ac:dyDescent="0.35"/>
  <cols>
    <col min="1" max="1" width="4.81640625" style="1" bestFit="1" customWidth="1"/>
    <col min="2" max="2" width="21.453125" style="2" customWidth="1"/>
    <col min="3" max="3" width="24.453125" style="3" customWidth="1"/>
    <col min="4" max="4" width="13.54296875" style="3" customWidth="1"/>
    <col min="5" max="5" width="8.81640625" style="3" customWidth="1"/>
    <col min="6" max="6" width="3" style="3" customWidth="1"/>
    <col min="7" max="7" width="9.26953125" style="1" customWidth="1"/>
    <col min="8" max="8" width="13.453125" style="1" customWidth="1"/>
    <col min="9" max="9" width="11.7265625" style="1" customWidth="1"/>
    <col min="10" max="10" width="15.453125" style="1" customWidth="1"/>
    <col min="11" max="11" width="13.453125" style="1" customWidth="1"/>
    <col min="12" max="12" width="15.54296875" style="1" customWidth="1"/>
    <col min="13" max="13" width="14.54296875" style="1" customWidth="1"/>
    <col min="14" max="14" width="3" style="3" customWidth="1"/>
    <col min="15" max="15" width="11" style="3" customWidth="1"/>
    <col min="16" max="16" width="28.453125" style="3" customWidth="1"/>
    <col min="17" max="17" width="8.81640625" style="3" customWidth="1"/>
    <col min="18" max="18" width="9.81640625" style="3" customWidth="1"/>
    <col min="19" max="19" width="11.54296875" style="1" customWidth="1"/>
    <col min="20" max="20" width="10.453125" style="1" customWidth="1"/>
    <col min="21" max="21" width="10.54296875" style="1" customWidth="1"/>
    <col min="22" max="22" width="13" style="1" customWidth="1"/>
    <col min="23" max="23" width="9.81640625" style="1" customWidth="1"/>
    <col min="24" max="24" width="8.453125" style="1" customWidth="1"/>
    <col min="25" max="25" width="12.54296875" style="1" customWidth="1"/>
    <col min="26" max="26" width="3.1796875" style="1" customWidth="1"/>
    <col min="27" max="27" width="10.54296875" style="1" customWidth="1"/>
    <col min="28" max="28" width="4.1796875" style="1" customWidth="1"/>
    <col min="29" max="29" width="55.7265625" style="1" bestFit="1" customWidth="1"/>
    <col min="30" max="71" width="8.7265625" style="1" customWidth="1"/>
    <col min="72" max="16384" width="8.7265625" style="1"/>
  </cols>
  <sheetData>
    <row r="2" spans="1:29" s="6" customFormat="1" ht="23.5" x14ac:dyDescent="0.35">
      <c r="A2" s="1"/>
      <c r="B2" s="4" t="s">
        <v>233</v>
      </c>
      <c r="C2" s="4"/>
      <c r="D2" s="4"/>
      <c r="E2" s="4"/>
      <c r="F2" s="4"/>
      <c r="G2" s="4"/>
      <c r="H2" s="4"/>
      <c r="I2" s="4"/>
      <c r="J2" s="4"/>
      <c r="K2" s="4"/>
      <c r="L2" s="4"/>
      <c r="M2" s="4"/>
      <c r="N2" s="4"/>
      <c r="O2" s="4"/>
      <c r="P2" s="4"/>
      <c r="Q2" s="4"/>
      <c r="R2" s="5"/>
      <c r="S2" s="4"/>
      <c r="T2" s="4"/>
      <c r="U2" s="4"/>
      <c r="V2" s="4"/>
      <c r="W2" s="4"/>
      <c r="X2" s="4"/>
      <c r="Y2" s="4"/>
      <c r="Z2" s="4"/>
      <c r="AA2" s="4"/>
      <c r="AB2" s="4"/>
      <c r="AC2" s="4"/>
    </row>
    <row r="3" spans="1:29" s="6" customFormat="1" ht="23.5" x14ac:dyDescent="0.35">
      <c r="A3" s="1"/>
      <c r="B3" s="93" t="s">
        <v>224</v>
      </c>
      <c r="C3" s="4"/>
      <c r="D3" s="4"/>
      <c r="E3" s="4"/>
      <c r="F3" s="4"/>
      <c r="G3" s="4"/>
      <c r="H3" s="4"/>
      <c r="I3" s="4"/>
      <c r="J3" s="4"/>
      <c r="K3" s="4"/>
      <c r="L3" s="4"/>
      <c r="M3" s="4"/>
      <c r="N3" s="4"/>
      <c r="O3" s="4"/>
      <c r="P3" s="4"/>
      <c r="Q3" s="4"/>
      <c r="R3" s="5"/>
      <c r="S3" s="4"/>
      <c r="T3" s="4"/>
      <c r="U3" s="4"/>
      <c r="V3" s="4"/>
      <c r="W3" s="4"/>
      <c r="X3" s="4"/>
      <c r="Y3" s="4"/>
      <c r="Z3" s="4"/>
      <c r="AA3" s="4"/>
      <c r="AB3" s="4"/>
      <c r="AC3" s="4"/>
    </row>
    <row r="4" spans="1:29" ht="8.15" customHeight="1" x14ac:dyDescent="0.35">
      <c r="B4" s="1"/>
      <c r="C4" s="1"/>
      <c r="D4" s="1"/>
      <c r="E4" s="1"/>
      <c r="F4" s="1"/>
      <c r="N4" s="1"/>
      <c r="O4" s="1"/>
      <c r="P4" s="1"/>
      <c r="Q4" s="1"/>
      <c r="R4" s="1"/>
    </row>
    <row r="5" spans="1:29" x14ac:dyDescent="0.35">
      <c r="B5" s="6" t="s">
        <v>223</v>
      </c>
      <c r="C5" s="1"/>
      <c r="D5" s="1"/>
      <c r="E5" s="1"/>
      <c r="F5" s="1"/>
      <c r="N5" s="1"/>
      <c r="O5" s="6" t="s">
        <v>157</v>
      </c>
    </row>
    <row r="6" spans="1:29" ht="35" customHeight="1" x14ac:dyDescent="0.35">
      <c r="B6" s="101" t="s">
        <v>229</v>
      </c>
      <c r="C6" s="101"/>
      <c r="D6" s="101"/>
      <c r="E6" s="101"/>
      <c r="F6" s="101"/>
      <c r="G6" s="101"/>
      <c r="H6" s="101"/>
      <c r="I6" s="101"/>
      <c r="J6" s="101"/>
      <c r="K6" s="101"/>
      <c r="L6" s="101"/>
      <c r="M6" s="101"/>
      <c r="N6" s="1"/>
      <c r="O6" s="1" t="s">
        <v>32</v>
      </c>
      <c r="P6" s="1" t="s">
        <v>158</v>
      </c>
      <c r="T6" s="72" t="s">
        <v>159</v>
      </c>
    </row>
    <row r="7" spans="1:29" x14ac:dyDescent="0.35">
      <c r="B7" s="101"/>
      <c r="C7" s="101"/>
      <c r="D7" s="101"/>
      <c r="E7" s="101"/>
      <c r="F7" s="101"/>
      <c r="G7" s="101"/>
      <c r="H7" s="101"/>
      <c r="I7" s="101"/>
      <c r="J7" s="101"/>
      <c r="K7" s="101"/>
      <c r="L7" s="101"/>
      <c r="M7" s="101"/>
      <c r="N7" s="1"/>
      <c r="O7" s="3" t="s">
        <v>55</v>
      </c>
      <c r="P7" s="3" t="s">
        <v>160</v>
      </c>
      <c r="T7" s="71" t="s">
        <v>161</v>
      </c>
    </row>
    <row r="8" spans="1:29" x14ac:dyDescent="0.35">
      <c r="B8" s="101"/>
      <c r="C8" s="101"/>
      <c r="D8" s="101"/>
      <c r="E8" s="101"/>
      <c r="F8" s="101"/>
      <c r="G8" s="101"/>
      <c r="H8" s="101"/>
      <c r="I8" s="101"/>
      <c r="J8" s="101"/>
      <c r="K8" s="101"/>
      <c r="L8" s="101"/>
      <c r="M8" s="101"/>
      <c r="N8" s="1"/>
      <c r="O8" s="3" t="s">
        <v>79</v>
      </c>
      <c r="P8" s="3" t="s">
        <v>168</v>
      </c>
      <c r="T8" s="72" t="s">
        <v>167</v>
      </c>
    </row>
    <row r="9" spans="1:29" x14ac:dyDescent="0.35">
      <c r="B9" s="101"/>
      <c r="C9" s="101"/>
      <c r="D9" s="101"/>
      <c r="E9" s="101"/>
      <c r="F9" s="101"/>
      <c r="G9" s="101"/>
      <c r="H9" s="101"/>
      <c r="I9" s="101"/>
      <c r="J9" s="101"/>
      <c r="K9" s="101"/>
      <c r="L9" s="101"/>
      <c r="M9" s="101"/>
      <c r="N9" s="1"/>
      <c r="O9" s="3" t="s">
        <v>22</v>
      </c>
      <c r="P9" s="3" t="s">
        <v>162</v>
      </c>
      <c r="T9" s="72" t="s">
        <v>163</v>
      </c>
    </row>
    <row r="10" spans="1:29" ht="99.5" customHeight="1" x14ac:dyDescent="0.35">
      <c r="B10" s="102" t="s">
        <v>235</v>
      </c>
      <c r="C10" s="102"/>
      <c r="D10" s="102"/>
      <c r="E10" s="102"/>
      <c r="F10" s="102"/>
      <c r="G10" s="102"/>
      <c r="H10" s="102"/>
      <c r="I10" s="102"/>
      <c r="J10" s="102"/>
      <c r="K10" s="102"/>
      <c r="L10" s="102"/>
      <c r="M10" s="102"/>
      <c r="N10" s="1"/>
      <c r="O10" s="3" t="s">
        <v>164</v>
      </c>
      <c r="P10" s="3" t="s">
        <v>165</v>
      </c>
      <c r="T10" s="92" t="s">
        <v>166</v>
      </c>
    </row>
    <row r="11" spans="1:29" ht="8.15" customHeight="1" x14ac:dyDescent="0.35">
      <c r="B11" s="1"/>
      <c r="C11" s="1"/>
      <c r="D11" s="1"/>
      <c r="E11" s="1"/>
      <c r="F11" s="1"/>
      <c r="N11" s="1"/>
      <c r="O11" s="1"/>
      <c r="P11" s="1"/>
      <c r="Q11" s="1"/>
      <c r="R11" s="1"/>
    </row>
    <row r="12" spans="1:29" ht="26.15" customHeight="1" x14ac:dyDescent="0.35">
      <c r="A12"/>
      <c r="B12" s="13" t="s">
        <v>210</v>
      </c>
      <c r="C12" s="13" t="s">
        <v>103</v>
      </c>
      <c r="D12" s="1"/>
      <c r="E12" s="1"/>
      <c r="F12" s="1"/>
      <c r="G12" s="13" t="s">
        <v>1</v>
      </c>
      <c r="H12" s="70" t="s">
        <v>2</v>
      </c>
      <c r="I12" s="36" t="s">
        <v>3</v>
      </c>
      <c r="J12" s="36" t="s">
        <v>20</v>
      </c>
      <c r="K12" s="14" t="s">
        <v>4</v>
      </c>
      <c r="L12" s="14" t="s">
        <v>40</v>
      </c>
      <c r="M12" s="36" t="s">
        <v>102</v>
      </c>
      <c r="N12" s="1"/>
      <c r="P12" s="1"/>
      <c r="Q12" s="1"/>
      <c r="R12" s="1"/>
    </row>
    <row r="13" spans="1:29" ht="19" customHeight="1" x14ac:dyDescent="0.35">
      <c r="A13" s="9">
        <v>1</v>
      </c>
      <c r="B13" s="19" t="str">
        <f>Schablonrecept!B25</f>
        <v>RÖJNING</v>
      </c>
      <c r="C13" s="67" t="s">
        <v>207</v>
      </c>
      <c r="D13" s="1"/>
      <c r="E13" s="1"/>
      <c r="F13" s="1"/>
      <c r="G13" s="7">
        <f>Schablonrecept!G47</f>
        <v>0</v>
      </c>
      <c r="H13" s="7">
        <f>Schablonrecept!H47</f>
        <v>0</v>
      </c>
      <c r="I13" s="7">
        <f>Schablonrecept!I47</f>
        <v>0</v>
      </c>
      <c r="J13" s="7">
        <f>Schablonrecept!J47</f>
        <v>0</v>
      </c>
      <c r="K13" s="22">
        <f>Schablonrecept!K47</f>
        <v>0.61748567999999993</v>
      </c>
      <c r="L13" s="22">
        <f>Schablonrecept!L47</f>
        <v>0.67671000000000003</v>
      </c>
      <c r="M13" s="22">
        <f>Schablonrecept!M47</f>
        <v>1.2941956800000001</v>
      </c>
      <c r="N13" s="1"/>
      <c r="O13" s="1"/>
      <c r="Q13" s="1"/>
      <c r="R13" s="1"/>
    </row>
    <row r="14" spans="1:29" ht="44.5" customHeight="1" x14ac:dyDescent="0.35">
      <c r="A14" s="9">
        <v>2</v>
      </c>
      <c r="B14" s="19" t="str">
        <f>Schablonrecept!B49</f>
        <v>RIVNING AV ANLÄGGNING</v>
      </c>
      <c r="C14" s="67" t="s">
        <v>207</v>
      </c>
      <c r="D14" s="1"/>
      <c r="E14" s="1"/>
      <c r="F14" s="1"/>
      <c r="G14" s="7">
        <f>Schablonrecept!G57</f>
        <v>0</v>
      </c>
      <c r="H14" s="7">
        <f>Schablonrecept!H57</f>
        <v>0</v>
      </c>
      <c r="I14" s="7">
        <f>Schablonrecept!I57</f>
        <v>0</v>
      </c>
      <c r="J14" s="7">
        <f>Schablonrecept!J57</f>
        <v>0</v>
      </c>
      <c r="K14" s="22">
        <f>Schablonrecept!K57</f>
        <v>1.2802039199999999</v>
      </c>
      <c r="L14" s="22">
        <f>Schablonrecept!L57</f>
        <v>0.32850000000000001</v>
      </c>
      <c r="M14" s="22">
        <f>Schablonrecept!M57</f>
        <v>1.60870392</v>
      </c>
      <c r="N14" s="1"/>
      <c r="O14" s="1"/>
      <c r="P14" s="1"/>
      <c r="Q14" s="1"/>
      <c r="R14" s="1"/>
    </row>
    <row r="15" spans="1:29" ht="19" customHeight="1" x14ac:dyDescent="0.35">
      <c r="A15" s="9">
        <v>3</v>
      </c>
      <c r="B15" s="19" t="str">
        <f>Schablonrecept!B59</f>
        <v>SPONT</v>
      </c>
      <c r="C15" s="68" t="s">
        <v>104</v>
      </c>
      <c r="D15" s="1"/>
      <c r="E15" s="1"/>
      <c r="F15" s="1"/>
      <c r="G15" s="7">
        <f>Schablonrecept!G68</f>
        <v>266.91200000000003</v>
      </c>
      <c r="H15" s="22">
        <f>Schablonrecept!H68</f>
        <v>5.0150000000000006</v>
      </c>
      <c r="I15" s="22">
        <f>Schablonrecept!I68</f>
        <v>2.3395500000000022</v>
      </c>
      <c r="J15" s="7">
        <f>Schablonrecept!J68</f>
        <v>274.26655000000005</v>
      </c>
      <c r="K15" s="22">
        <f>Schablonrecept!K68</f>
        <v>5.0813404000000002</v>
      </c>
      <c r="L15" s="22">
        <f>Schablonrecept!L68</f>
        <v>0.54500000000000004</v>
      </c>
      <c r="M15" s="7">
        <f>Schablonrecept!M68</f>
        <v>279.89289040000006</v>
      </c>
      <c r="N15" s="1"/>
      <c r="O15" s="1"/>
      <c r="P15" s="1"/>
      <c r="Q15" s="1"/>
      <c r="R15" s="1"/>
    </row>
    <row r="16" spans="1:29" ht="26.15" customHeight="1" x14ac:dyDescent="0.35">
      <c r="A16" s="97" t="s">
        <v>230</v>
      </c>
      <c r="B16" s="19" t="str">
        <f>Schablonrecept!B70</f>
        <v>SCHAKT, FYLLNING - UNDER HUSKROPP</v>
      </c>
      <c r="C16" s="68" t="s">
        <v>104</v>
      </c>
      <c r="D16" s="1"/>
      <c r="E16" s="1"/>
      <c r="F16" s="1"/>
      <c r="G16" s="7">
        <f>Schablonrecept!G81</f>
        <v>122.325</v>
      </c>
      <c r="H16" s="7">
        <f>Schablonrecept!H81</f>
        <v>23.637999999999998</v>
      </c>
      <c r="I16" s="22">
        <f>Schablonrecept!I81</f>
        <v>7.5212900000000067</v>
      </c>
      <c r="J16" s="7">
        <f>Schablonrecept!J81</f>
        <v>153.48429000000002</v>
      </c>
      <c r="K16" s="22">
        <f>Schablonrecept!K81</f>
        <v>8.875</v>
      </c>
      <c r="L16" s="7">
        <f>Schablonrecept!L81</f>
        <v>30.22</v>
      </c>
      <c r="M16" s="7">
        <f>Schablonrecept!M81</f>
        <v>192.57929000000001</v>
      </c>
      <c r="N16" s="1"/>
      <c r="O16" s="1"/>
      <c r="P16" s="1"/>
      <c r="Q16" s="1"/>
      <c r="R16" s="1"/>
    </row>
    <row r="17" spans="1:29" ht="87" x14ac:dyDescent="0.35">
      <c r="A17" s="97" t="s">
        <v>231</v>
      </c>
      <c r="B17" s="19" t="s">
        <v>232</v>
      </c>
      <c r="C17" s="68" t="s">
        <v>104</v>
      </c>
      <c r="D17" s="1"/>
      <c r="E17" s="1"/>
      <c r="F17" s="1"/>
      <c r="G17" s="7">
        <f t="shared" ref="G17:M17" si="0">G81-G73-G77-G78-G80</f>
        <v>10.219999999999992</v>
      </c>
      <c r="H17" s="7">
        <f t="shared" si="0"/>
        <v>10.939999999999998</v>
      </c>
      <c r="I17" s="22">
        <f t="shared" si="0"/>
        <v>2.2700000000000014</v>
      </c>
      <c r="J17" s="7">
        <f t="shared" si="0"/>
        <v>23.430000000000003</v>
      </c>
      <c r="K17" s="22">
        <f t="shared" si="0"/>
        <v>6.0799999999999992</v>
      </c>
      <c r="L17" s="7">
        <f t="shared" si="0"/>
        <v>10.899999999999999</v>
      </c>
      <c r="M17" s="7">
        <f t="shared" si="0"/>
        <v>40.410000000000011</v>
      </c>
      <c r="N17" s="1"/>
      <c r="O17" s="1"/>
      <c r="P17" s="1"/>
      <c r="Q17" s="1"/>
      <c r="R17" s="1"/>
    </row>
    <row r="18" spans="1:29" ht="29" x14ac:dyDescent="0.35">
      <c r="A18" s="9">
        <v>5</v>
      </c>
      <c r="B18" s="19" t="str">
        <f>Schablonrecept!B84</f>
        <v>SCHAKT, FYLLNING - YTTRE ARBETEN</v>
      </c>
      <c r="C18" s="67" t="s">
        <v>207</v>
      </c>
      <c r="D18" s="1"/>
      <c r="E18" s="1"/>
      <c r="F18" s="1"/>
      <c r="G18" s="22">
        <f>Schablonrecept!G89</f>
        <v>3.802</v>
      </c>
      <c r="H18" s="22">
        <f>Schablonrecept!H89</f>
        <v>3.835</v>
      </c>
      <c r="I18" s="22">
        <f>Schablonrecept!I89</f>
        <v>0.84070000000000067</v>
      </c>
      <c r="J18" s="22">
        <f>Schablonrecept!J89</f>
        <v>8.4777000000000005</v>
      </c>
      <c r="K18" s="22">
        <f>Schablonrecept!K89</f>
        <v>2.5599999999999996</v>
      </c>
      <c r="L18" s="22">
        <f>Schablonrecept!L89</f>
        <v>5.45</v>
      </c>
      <c r="M18" s="7">
        <f>Schablonrecept!M89</f>
        <v>16.4877</v>
      </c>
      <c r="N18" s="1"/>
      <c r="O18" s="1"/>
      <c r="P18" s="1"/>
      <c r="Q18" s="1"/>
      <c r="R18" s="1"/>
    </row>
    <row r="19" spans="1:29" ht="26.15" customHeight="1" x14ac:dyDescent="0.35">
      <c r="A19" s="9">
        <v>6</v>
      </c>
      <c r="B19" s="19" t="str">
        <f>Schablonrecept!B91</f>
        <v>PÅLNING</v>
      </c>
      <c r="C19" s="69" t="s">
        <v>14</v>
      </c>
      <c r="D19" s="1"/>
      <c r="E19" s="1"/>
      <c r="F19" s="1"/>
      <c r="G19" s="7">
        <f>Schablonrecept!G102</f>
        <v>21.680000000000003</v>
      </c>
      <c r="H19" s="22">
        <f>Schablonrecept!H102</f>
        <v>1.6744900000000003</v>
      </c>
      <c r="I19" s="22">
        <f>Schablonrecept!I102</f>
        <v>0.97537170000000084</v>
      </c>
      <c r="J19" s="7">
        <f>Schablonrecept!J102</f>
        <v>24.329861700000002</v>
      </c>
      <c r="K19" s="22">
        <f>Schablonrecept!K102</f>
        <v>0.66400000000000003</v>
      </c>
      <c r="L19" s="22">
        <f>Schablonrecept!L102</f>
        <v>0.54500000000000004</v>
      </c>
      <c r="M19" s="7">
        <f>Schablonrecept!M102</f>
        <v>25.538861700000002</v>
      </c>
      <c r="N19" s="1"/>
      <c r="O19" s="1"/>
      <c r="P19" s="1"/>
      <c r="Q19" s="1"/>
      <c r="R19" s="1"/>
    </row>
    <row r="20" spans="1:29" ht="19" customHeight="1" x14ac:dyDescent="0.35">
      <c r="A20" s="9">
        <v>7</v>
      </c>
      <c r="B20" s="19" t="str">
        <f>Schablonrecept!B104</f>
        <v>LEDNINGAR</v>
      </c>
      <c r="C20" s="67" t="s">
        <v>207</v>
      </c>
      <c r="D20" s="1"/>
      <c r="E20" s="1"/>
      <c r="F20" s="1"/>
      <c r="G20" s="22">
        <f>Schablonrecept!G116</f>
        <v>2.6380000000000003</v>
      </c>
      <c r="H20" s="22">
        <f>Schablonrecept!H116</f>
        <v>0.5997473684210527</v>
      </c>
      <c r="I20" s="22">
        <f>Schablonrecept!I116</f>
        <v>0.20923821052631592</v>
      </c>
      <c r="J20" s="22">
        <f>Schablonrecept!J116</f>
        <v>3.4469855789473685</v>
      </c>
      <c r="K20" s="22">
        <f>Schablonrecept!K116</f>
        <v>2.8293619999999997</v>
      </c>
      <c r="L20" s="22">
        <f>Schablonrecept!L116</f>
        <v>0.54500000000000004</v>
      </c>
      <c r="M20" s="22">
        <f>Schablonrecept!M116</f>
        <v>6.8213475789473677</v>
      </c>
      <c r="N20" s="1"/>
      <c r="O20" s="1"/>
      <c r="P20" s="1"/>
      <c r="Q20" s="1"/>
      <c r="R20" s="1"/>
    </row>
    <row r="21" spans="1:29" ht="26.15" customHeight="1" x14ac:dyDescent="0.35">
      <c r="A21" s="9">
        <v>8</v>
      </c>
      <c r="B21" s="19" t="str">
        <f>Schablonrecept!B118</f>
        <v>HÅRDGJORDA YTOR</v>
      </c>
      <c r="C21" s="67" t="s">
        <v>207</v>
      </c>
      <c r="D21" s="1"/>
      <c r="E21" s="1"/>
      <c r="F21" s="1"/>
      <c r="G21" s="7">
        <f>Schablonrecept!G134</f>
        <v>12.748799999999996</v>
      </c>
      <c r="H21" s="22">
        <f>Schablonrecept!H134</f>
        <v>3.3769966666666669</v>
      </c>
      <c r="I21" s="22">
        <f>Schablonrecept!I134</f>
        <v>0.79125173333333387</v>
      </c>
      <c r="J21" s="7">
        <f>Schablonrecept!J134</f>
        <v>16.917048400000002</v>
      </c>
      <c r="K21" s="22">
        <f>Schablonrecept!K134</f>
        <v>2.9423620000000001</v>
      </c>
      <c r="L21" s="7">
        <f>Schablonrecept!L134</f>
        <v>0</v>
      </c>
      <c r="M21" s="7">
        <f>Schablonrecept!M134</f>
        <v>19.859410400000005</v>
      </c>
      <c r="N21" s="1"/>
      <c r="O21" s="1"/>
      <c r="P21" s="1"/>
      <c r="Q21" s="1"/>
      <c r="R21" s="1"/>
    </row>
    <row r="22" spans="1:29" ht="19" customHeight="1" x14ac:dyDescent="0.35">
      <c r="A22" s="9">
        <v>9</v>
      </c>
      <c r="B22" s="19" t="str">
        <f>Schablonrecept!B136</f>
        <v>VEGETATIONSYTOR</v>
      </c>
      <c r="C22" s="67" t="s">
        <v>207</v>
      </c>
      <c r="D22" s="1"/>
      <c r="E22" s="1"/>
      <c r="F22" s="1"/>
      <c r="G22" s="7">
        <f>Schablonrecept!G149</f>
        <v>8.2263500000000001</v>
      </c>
      <c r="H22" s="22">
        <f>Schablonrecept!H149</f>
        <v>1.0666475</v>
      </c>
      <c r="I22" s="22">
        <f>Schablonrecept!I149</f>
        <v>0.16504387500000015</v>
      </c>
      <c r="J22" s="7">
        <f>Schablonrecept!J149</f>
        <v>9.4580413749999988</v>
      </c>
      <c r="K22" s="22">
        <f>Schablonrecept!K149</f>
        <v>2.701362</v>
      </c>
      <c r="L22" s="22">
        <f>Schablonrecept!L149</f>
        <v>0.54500000000000004</v>
      </c>
      <c r="M22" s="7">
        <f>Schablonrecept!M149</f>
        <v>12.704403374999998</v>
      </c>
      <c r="N22" s="1"/>
      <c r="O22" s="1"/>
      <c r="P22" s="1"/>
      <c r="Q22" s="1"/>
      <c r="R22" s="1"/>
    </row>
    <row r="23" spans="1:29" ht="26.15" customHeight="1" x14ac:dyDescent="0.35">
      <c r="A23" s="9">
        <v>10</v>
      </c>
      <c r="B23" s="19" t="str">
        <f>Schablonrecept!B151</f>
        <v>MARKUTRUSTNING OCH ÖVRIGT</v>
      </c>
      <c r="C23" s="67" t="s">
        <v>207</v>
      </c>
      <c r="D23" s="1"/>
      <c r="E23" s="1"/>
      <c r="F23" s="1"/>
      <c r="G23" s="22">
        <f>Schablonrecept!G161</f>
        <v>1.3452000000000002</v>
      </c>
      <c r="H23" s="22">
        <f>Schablonrecept!H161</f>
        <v>0.14030000000000001</v>
      </c>
      <c r="I23" s="25">
        <f>Schablonrecept!I161</f>
        <v>9.8100000000000097E-3</v>
      </c>
      <c r="J23" s="22">
        <f>Schablonrecept!J161</f>
        <v>1.4953100000000001</v>
      </c>
      <c r="K23" s="22">
        <f>Schablonrecept!K161</f>
        <v>0.52107239999999999</v>
      </c>
      <c r="L23" s="7">
        <f>Schablonrecept!L161</f>
        <v>0</v>
      </c>
      <c r="M23" s="22">
        <f>Schablonrecept!M161</f>
        <v>2.0163824000000004</v>
      </c>
      <c r="N23" s="1"/>
      <c r="O23" s="1"/>
      <c r="P23" s="1"/>
      <c r="Q23" s="1"/>
      <c r="R23" s="1"/>
    </row>
    <row r="24" spans="1:29" x14ac:dyDescent="0.35">
      <c r="B24" s="1"/>
      <c r="C24" s="1"/>
      <c r="D24" s="1"/>
      <c r="E24" s="1"/>
      <c r="F24" s="1"/>
      <c r="N24" s="1"/>
      <c r="O24" s="1"/>
      <c r="P24" s="1"/>
      <c r="Q24" s="1"/>
      <c r="R24" s="1"/>
    </row>
    <row r="25" spans="1:29" x14ac:dyDescent="0.35">
      <c r="A25" s="11">
        <v>1</v>
      </c>
      <c r="B25" s="6" t="s">
        <v>5</v>
      </c>
      <c r="C25" s="6"/>
      <c r="D25" s="1"/>
      <c r="E25" s="1"/>
      <c r="F25" s="1"/>
      <c r="G25" s="115" t="s">
        <v>60</v>
      </c>
      <c r="H25" s="115"/>
      <c r="I25" s="115"/>
      <c r="J25" s="115"/>
      <c r="K25" s="115"/>
      <c r="L25" s="115"/>
      <c r="M25" s="47"/>
      <c r="N25" s="1"/>
      <c r="O25" s="114" t="s">
        <v>62</v>
      </c>
      <c r="P25" s="114"/>
      <c r="Q25" s="114"/>
      <c r="R25" s="114"/>
      <c r="S25" s="114"/>
      <c r="T25" s="114"/>
      <c r="U25" s="114"/>
      <c r="V25" s="114"/>
      <c r="W25" s="114"/>
      <c r="X25" s="114"/>
      <c r="Y25" s="114"/>
      <c r="Z25" s="34"/>
      <c r="AC25" s="91" t="s">
        <v>212</v>
      </c>
    </row>
    <row r="26" spans="1:29" ht="44.15" customHeight="1" x14ac:dyDescent="0.35">
      <c r="B26" s="56" t="s">
        <v>111</v>
      </c>
      <c r="C26" s="15" t="s">
        <v>15</v>
      </c>
      <c r="D26" s="15" t="s">
        <v>208</v>
      </c>
      <c r="E26" s="15" t="s">
        <v>61</v>
      </c>
      <c r="F26" s="33"/>
      <c r="G26" s="13" t="s">
        <v>1</v>
      </c>
      <c r="H26" s="13" t="s">
        <v>2</v>
      </c>
      <c r="I26" s="14" t="s">
        <v>3</v>
      </c>
      <c r="J26" s="52" t="s">
        <v>20</v>
      </c>
      <c r="K26" s="14" t="s">
        <v>4</v>
      </c>
      <c r="L26" s="14" t="s">
        <v>40</v>
      </c>
      <c r="M26" s="52" t="s">
        <v>102</v>
      </c>
      <c r="N26" s="33"/>
      <c r="O26" s="13" t="s">
        <v>17</v>
      </c>
      <c r="P26" s="13" t="s">
        <v>18</v>
      </c>
      <c r="Q26" s="13" t="s">
        <v>61</v>
      </c>
      <c r="R26" s="13" t="s">
        <v>1</v>
      </c>
      <c r="S26" s="13" t="s">
        <v>2</v>
      </c>
      <c r="T26" s="13" t="s">
        <v>19</v>
      </c>
      <c r="U26" s="13" t="s">
        <v>4</v>
      </c>
      <c r="V26" s="13" t="s">
        <v>41</v>
      </c>
      <c r="W26" s="108" t="s">
        <v>156</v>
      </c>
      <c r="X26" s="108"/>
      <c r="Y26" s="14" t="s">
        <v>35</v>
      </c>
      <c r="Z26" s="31"/>
      <c r="AA26" s="14" t="s">
        <v>42</v>
      </c>
      <c r="AC26" s="14" t="s">
        <v>222</v>
      </c>
    </row>
    <row r="27" spans="1:29" ht="22.5" customHeight="1" x14ac:dyDescent="0.35">
      <c r="A27" s="9"/>
      <c r="B27" s="105" t="s">
        <v>105</v>
      </c>
      <c r="C27" s="7" t="s">
        <v>29</v>
      </c>
      <c r="D27" s="24">
        <v>2E-3</v>
      </c>
      <c r="E27" s="20" t="s">
        <v>28</v>
      </c>
      <c r="F27" s="29"/>
      <c r="G27" s="27"/>
      <c r="H27" s="27"/>
      <c r="I27" s="20"/>
      <c r="J27" s="27"/>
      <c r="K27" s="23">
        <f>U27*D27</f>
        <v>5.6994000000000003E-3</v>
      </c>
      <c r="L27" s="27"/>
      <c r="M27" s="23">
        <f>SUM(J27:L27)</f>
        <v>5.6994000000000003E-3</v>
      </c>
      <c r="N27" s="29"/>
      <c r="O27" s="17" t="s">
        <v>32</v>
      </c>
      <c r="P27" s="17" t="s">
        <v>37</v>
      </c>
      <c r="Q27" s="17" t="s">
        <v>28</v>
      </c>
      <c r="R27" s="19"/>
      <c r="S27" s="17"/>
      <c r="T27" s="17"/>
      <c r="U27" s="23">
        <f>0.0885*W27</f>
        <v>2.8496999999999999</v>
      </c>
      <c r="V27" s="23"/>
      <c r="W27" s="20">
        <v>32.200000000000003</v>
      </c>
      <c r="X27" s="20" t="s">
        <v>36</v>
      </c>
      <c r="Y27" s="20"/>
      <c r="Z27" s="29"/>
      <c r="AA27" s="20"/>
      <c r="AC27" s="105" t="s">
        <v>179</v>
      </c>
    </row>
    <row r="28" spans="1:29" ht="25" customHeight="1" x14ac:dyDescent="0.35">
      <c r="A28" s="9"/>
      <c r="B28" s="105"/>
      <c r="C28" s="100" t="s">
        <v>27</v>
      </c>
      <c r="D28" s="109">
        <v>2E-3</v>
      </c>
      <c r="E28" s="99" t="s">
        <v>24</v>
      </c>
      <c r="F28" s="29"/>
      <c r="G28" s="107"/>
      <c r="H28" s="107"/>
      <c r="I28" s="99"/>
      <c r="J28" s="107"/>
      <c r="K28" s="107"/>
      <c r="L28" s="110">
        <f>V28*D28</f>
        <v>6.5699999999999995E-3</v>
      </c>
      <c r="M28" s="110">
        <f>SUM(J28:L28)</f>
        <v>6.5699999999999995E-3</v>
      </c>
      <c r="N28" s="29"/>
      <c r="O28" s="17"/>
      <c r="P28" s="21" t="s">
        <v>93</v>
      </c>
      <c r="Q28" s="21" t="s">
        <v>24</v>
      </c>
      <c r="R28" s="19"/>
      <c r="S28" s="17"/>
      <c r="T28" s="21"/>
      <c r="U28" s="23"/>
      <c r="V28" s="23">
        <f>V29*W28*AA28</f>
        <v>3.2849999999999997</v>
      </c>
      <c r="W28" s="20">
        <v>1.5</v>
      </c>
      <c r="X28" s="20" t="s">
        <v>39</v>
      </c>
      <c r="Y28" s="20"/>
      <c r="Z28" s="29"/>
      <c r="AA28" s="27">
        <v>30</v>
      </c>
      <c r="AC28" s="105"/>
    </row>
    <row r="29" spans="1:29" x14ac:dyDescent="0.35">
      <c r="A29" s="9"/>
      <c r="B29" s="105"/>
      <c r="C29" s="100"/>
      <c r="D29" s="109"/>
      <c r="E29" s="99"/>
      <c r="F29" s="29"/>
      <c r="G29" s="107"/>
      <c r="H29" s="107"/>
      <c r="I29" s="99"/>
      <c r="J29" s="107"/>
      <c r="K29" s="107"/>
      <c r="L29" s="110"/>
      <c r="M29" s="110"/>
      <c r="N29" s="29"/>
      <c r="O29" s="17" t="s">
        <v>32</v>
      </c>
      <c r="P29" s="17" t="s">
        <v>38</v>
      </c>
      <c r="Q29" s="17" t="s">
        <v>34</v>
      </c>
      <c r="R29" s="16"/>
      <c r="S29" s="17"/>
      <c r="T29" s="17"/>
      <c r="U29" s="24"/>
      <c r="V29" s="24">
        <v>7.2999999999999995E-2</v>
      </c>
      <c r="W29" s="20">
        <v>35.299999999999997</v>
      </c>
      <c r="X29" s="20" t="s">
        <v>36</v>
      </c>
      <c r="Y29" s="20"/>
      <c r="Z29" s="29"/>
      <c r="AA29" s="20"/>
      <c r="AC29" s="105"/>
    </row>
    <row r="30" spans="1:29" ht="29" x14ac:dyDescent="0.35">
      <c r="A30" s="9"/>
      <c r="B30" s="105"/>
      <c r="C30" s="100" t="s">
        <v>16</v>
      </c>
      <c r="D30" s="109">
        <v>1E-3</v>
      </c>
      <c r="E30" s="118" t="s">
        <v>23</v>
      </c>
      <c r="F30" s="30"/>
      <c r="G30" s="107"/>
      <c r="H30" s="107"/>
      <c r="I30" s="99"/>
      <c r="J30" s="107"/>
      <c r="K30" s="110">
        <f>U30*D30</f>
        <v>2.5253619999999997E-2</v>
      </c>
      <c r="L30" s="107"/>
      <c r="M30" s="110">
        <f>SUM(J30:L30)</f>
        <v>2.5253619999999997E-2</v>
      </c>
      <c r="N30" s="30"/>
      <c r="O30" s="17" t="s">
        <v>22</v>
      </c>
      <c r="P30" s="17" t="s">
        <v>21</v>
      </c>
      <c r="Q30" s="17" t="s">
        <v>23</v>
      </c>
      <c r="R30" s="16"/>
      <c r="S30" s="17"/>
      <c r="T30" s="17"/>
      <c r="U30" s="23">
        <f>U31*W31*W30*Y30</f>
        <v>25.253619999999998</v>
      </c>
      <c r="V30" s="23"/>
      <c r="W30" s="27">
        <v>14</v>
      </c>
      <c r="X30" s="20" t="s">
        <v>33</v>
      </c>
      <c r="Y30" s="20">
        <v>0.7</v>
      </c>
      <c r="Z30" s="29"/>
      <c r="AA30" s="20"/>
      <c r="AC30" s="105"/>
    </row>
    <row r="31" spans="1:29" x14ac:dyDescent="0.35">
      <c r="A31" s="9"/>
      <c r="B31" s="105"/>
      <c r="C31" s="100"/>
      <c r="D31" s="109"/>
      <c r="E31" s="118"/>
      <c r="F31" s="30"/>
      <c r="G31" s="107"/>
      <c r="H31" s="107"/>
      <c r="I31" s="99"/>
      <c r="J31" s="107"/>
      <c r="K31" s="110"/>
      <c r="L31" s="107"/>
      <c r="M31" s="110"/>
      <c r="N31" s="30"/>
      <c r="O31" s="17" t="s">
        <v>32</v>
      </c>
      <c r="P31" s="17" t="s">
        <v>38</v>
      </c>
      <c r="Q31" s="17" t="s">
        <v>34</v>
      </c>
      <c r="R31" s="16"/>
      <c r="S31" s="17"/>
      <c r="T31" s="17"/>
      <c r="U31" s="24">
        <v>7.2999999999999995E-2</v>
      </c>
      <c r="V31" s="24"/>
      <c r="W31" s="20">
        <v>35.299999999999997</v>
      </c>
      <c r="X31" s="20" t="s">
        <v>36</v>
      </c>
      <c r="Y31" s="20"/>
      <c r="Z31" s="29"/>
      <c r="AA31" s="20"/>
      <c r="AC31" s="105"/>
    </row>
    <row r="32" spans="1:29" x14ac:dyDescent="0.35">
      <c r="A32" s="9"/>
      <c r="B32" s="120" t="s">
        <v>0</v>
      </c>
      <c r="C32" s="7" t="s">
        <v>29</v>
      </c>
      <c r="D32" s="24">
        <v>2E-3</v>
      </c>
      <c r="E32" s="20" t="s">
        <v>28</v>
      </c>
      <c r="F32" s="29"/>
      <c r="G32" s="27"/>
      <c r="H32" s="27"/>
      <c r="I32" s="20"/>
      <c r="J32" s="27"/>
      <c r="K32" s="23">
        <f>U32*D32</f>
        <v>5.6994000000000003E-3</v>
      </c>
      <c r="L32" s="27"/>
      <c r="M32" s="23">
        <f>SUM(J32:L32)</f>
        <v>5.6994000000000003E-3</v>
      </c>
      <c r="N32" s="29"/>
      <c r="O32" s="17" t="s">
        <v>32</v>
      </c>
      <c r="P32" s="17" t="s">
        <v>37</v>
      </c>
      <c r="Q32" s="17" t="s">
        <v>28</v>
      </c>
      <c r="R32" s="19"/>
      <c r="S32" s="17"/>
      <c r="T32" s="17"/>
      <c r="U32" s="23">
        <f>0.0885*W32</f>
        <v>2.8496999999999999</v>
      </c>
      <c r="V32" s="23"/>
      <c r="W32" s="20">
        <v>32.200000000000003</v>
      </c>
      <c r="X32" s="20" t="s">
        <v>36</v>
      </c>
      <c r="Y32" s="20"/>
      <c r="Z32" s="29"/>
      <c r="AA32" s="20"/>
      <c r="AC32" s="105" t="s">
        <v>180</v>
      </c>
    </row>
    <row r="33" spans="1:29" ht="29" x14ac:dyDescent="0.35">
      <c r="A33" s="9"/>
      <c r="B33" s="105"/>
      <c r="C33" s="100" t="s">
        <v>16</v>
      </c>
      <c r="D33" s="109">
        <v>2E-3</v>
      </c>
      <c r="E33" s="118" t="s">
        <v>23</v>
      </c>
      <c r="F33" s="30"/>
      <c r="G33" s="107"/>
      <c r="H33" s="107"/>
      <c r="I33" s="99"/>
      <c r="J33" s="107"/>
      <c r="K33" s="99">
        <f>U33*D33</f>
        <v>5.0507239999999995E-2</v>
      </c>
      <c r="L33" s="107"/>
      <c r="M33" s="110">
        <f>SUM(J33:L33)</f>
        <v>5.0507239999999995E-2</v>
      </c>
      <c r="N33" s="30"/>
      <c r="O33" s="17" t="s">
        <v>22</v>
      </c>
      <c r="P33" s="17" t="s">
        <v>21</v>
      </c>
      <c r="Q33" s="17" t="s">
        <v>23</v>
      </c>
      <c r="R33" s="16"/>
      <c r="S33" s="17"/>
      <c r="T33" s="17"/>
      <c r="U33" s="23">
        <f>U34*W34*W33*Y33</f>
        <v>25.253619999999998</v>
      </c>
      <c r="V33" s="23"/>
      <c r="W33" s="27">
        <v>14</v>
      </c>
      <c r="X33" s="20" t="s">
        <v>33</v>
      </c>
      <c r="Y33" s="20">
        <v>0.7</v>
      </c>
      <c r="Z33" s="29"/>
      <c r="AA33" s="20"/>
      <c r="AC33" s="105"/>
    </row>
    <row r="34" spans="1:29" x14ac:dyDescent="0.35">
      <c r="A34" s="9"/>
      <c r="B34" s="105"/>
      <c r="C34" s="100"/>
      <c r="D34" s="109"/>
      <c r="E34" s="118"/>
      <c r="F34" s="30"/>
      <c r="G34" s="107"/>
      <c r="H34" s="107"/>
      <c r="I34" s="99"/>
      <c r="J34" s="107"/>
      <c r="K34" s="99"/>
      <c r="L34" s="107"/>
      <c r="M34" s="110"/>
      <c r="N34" s="30"/>
      <c r="O34" s="17" t="s">
        <v>32</v>
      </c>
      <c r="P34" s="17" t="s">
        <v>38</v>
      </c>
      <c r="Q34" s="17" t="s">
        <v>34</v>
      </c>
      <c r="R34" s="16"/>
      <c r="S34" s="17"/>
      <c r="T34" s="17"/>
      <c r="U34" s="24">
        <v>7.2999999999999995E-2</v>
      </c>
      <c r="V34" s="24"/>
      <c r="W34" s="20">
        <v>35.299999999999997</v>
      </c>
      <c r="X34" s="20" t="s">
        <v>36</v>
      </c>
      <c r="Y34" s="20"/>
      <c r="Z34" s="29"/>
      <c r="AA34" s="20"/>
      <c r="AC34" s="105"/>
    </row>
    <row r="35" spans="1:29" ht="29.15" customHeight="1" x14ac:dyDescent="0.35">
      <c r="A35" s="9"/>
      <c r="B35" s="119" t="s">
        <v>106</v>
      </c>
      <c r="C35" s="100" t="s">
        <v>30</v>
      </c>
      <c r="D35" s="109">
        <v>4.0000000000000001E-3</v>
      </c>
      <c r="E35" s="99" t="s">
        <v>24</v>
      </c>
      <c r="F35" s="30"/>
      <c r="G35" s="107"/>
      <c r="H35" s="107"/>
      <c r="I35" s="99"/>
      <c r="J35" s="107"/>
      <c r="K35" s="107"/>
      <c r="L35" s="110">
        <f>V35*D35</f>
        <v>1.3139999999999999E-2</v>
      </c>
      <c r="M35" s="110">
        <f>SUM(J35:L35)</f>
        <v>1.3139999999999999E-2</v>
      </c>
      <c r="N35" s="30"/>
      <c r="O35" s="17"/>
      <c r="P35" s="21" t="s">
        <v>93</v>
      </c>
      <c r="Q35" s="21" t="s">
        <v>24</v>
      </c>
      <c r="R35" s="19"/>
      <c r="S35" s="17"/>
      <c r="T35" s="21"/>
      <c r="U35" s="23"/>
      <c r="V35" s="23">
        <f>V36*W35*AA35</f>
        <v>3.2849999999999997</v>
      </c>
      <c r="W35" s="20">
        <v>1.5</v>
      </c>
      <c r="X35" s="20" t="s">
        <v>39</v>
      </c>
      <c r="Y35" s="20"/>
      <c r="Z35" s="29"/>
      <c r="AA35" s="27">
        <v>30</v>
      </c>
      <c r="AC35" s="106" t="s">
        <v>181</v>
      </c>
    </row>
    <row r="36" spans="1:29" x14ac:dyDescent="0.35">
      <c r="A36" s="9"/>
      <c r="B36" s="106"/>
      <c r="C36" s="100"/>
      <c r="D36" s="109"/>
      <c r="E36" s="99"/>
      <c r="F36" s="30"/>
      <c r="G36" s="107"/>
      <c r="H36" s="107"/>
      <c r="I36" s="99"/>
      <c r="J36" s="107"/>
      <c r="K36" s="107"/>
      <c r="L36" s="110"/>
      <c r="M36" s="110"/>
      <c r="N36" s="30"/>
      <c r="O36" s="17" t="s">
        <v>32</v>
      </c>
      <c r="P36" s="17" t="s">
        <v>38</v>
      </c>
      <c r="Q36" s="17" t="s">
        <v>34</v>
      </c>
      <c r="R36" s="16"/>
      <c r="S36" s="17"/>
      <c r="T36" s="17"/>
      <c r="U36" s="24"/>
      <c r="V36" s="24">
        <v>7.2999999999999995E-2</v>
      </c>
      <c r="W36" s="20">
        <v>35.299999999999997</v>
      </c>
      <c r="X36" s="20" t="s">
        <v>36</v>
      </c>
      <c r="Y36" s="20"/>
      <c r="Z36" s="29"/>
      <c r="AA36" s="20"/>
      <c r="AC36" s="106"/>
    </row>
    <row r="37" spans="1:29" ht="29" x14ac:dyDescent="0.35">
      <c r="A37" s="9"/>
      <c r="B37" s="106"/>
      <c r="C37" s="100" t="s">
        <v>16</v>
      </c>
      <c r="D37" s="109">
        <v>1E-3</v>
      </c>
      <c r="E37" s="118" t="s">
        <v>23</v>
      </c>
      <c r="F37" s="30"/>
      <c r="G37" s="107"/>
      <c r="H37" s="107"/>
      <c r="I37" s="99"/>
      <c r="J37" s="107"/>
      <c r="K37" s="110">
        <f>U37*D37</f>
        <v>2.5253619999999997E-2</v>
      </c>
      <c r="L37" s="107"/>
      <c r="M37" s="110">
        <f>SUM(J37:L37)</f>
        <v>2.5253619999999997E-2</v>
      </c>
      <c r="N37" s="30"/>
      <c r="O37" s="17" t="s">
        <v>22</v>
      </c>
      <c r="P37" s="17" t="s">
        <v>21</v>
      </c>
      <c r="Q37" s="17" t="s">
        <v>23</v>
      </c>
      <c r="R37" s="16"/>
      <c r="S37" s="17"/>
      <c r="T37" s="17"/>
      <c r="U37" s="23">
        <f>U38*W38*W37*Y37</f>
        <v>25.253619999999998</v>
      </c>
      <c r="V37" s="23"/>
      <c r="W37" s="27">
        <v>14</v>
      </c>
      <c r="X37" s="20" t="s">
        <v>33</v>
      </c>
      <c r="Y37" s="20">
        <v>0.7</v>
      </c>
      <c r="Z37" s="29"/>
      <c r="AA37" s="20"/>
      <c r="AC37" s="106"/>
    </row>
    <row r="38" spans="1:29" x14ac:dyDescent="0.35">
      <c r="A38" s="9"/>
      <c r="B38" s="106"/>
      <c r="C38" s="100"/>
      <c r="D38" s="109"/>
      <c r="E38" s="118"/>
      <c r="F38" s="30"/>
      <c r="G38" s="107"/>
      <c r="H38" s="107"/>
      <c r="I38" s="99"/>
      <c r="J38" s="107"/>
      <c r="K38" s="110"/>
      <c r="L38" s="107"/>
      <c r="M38" s="110"/>
      <c r="N38" s="30"/>
      <c r="O38" s="17" t="s">
        <v>32</v>
      </c>
      <c r="P38" s="17" t="s">
        <v>38</v>
      </c>
      <c r="Q38" s="17" t="s">
        <v>34</v>
      </c>
      <c r="R38" s="16"/>
      <c r="S38" s="17"/>
      <c r="T38" s="17"/>
      <c r="U38" s="24">
        <v>7.2999999999999995E-2</v>
      </c>
      <c r="V38" s="24"/>
      <c r="W38" s="20">
        <v>35.299999999999997</v>
      </c>
      <c r="X38" s="20" t="s">
        <v>36</v>
      </c>
      <c r="Y38" s="20"/>
      <c r="Z38" s="29"/>
      <c r="AA38" s="20"/>
      <c r="AC38" s="106"/>
    </row>
    <row r="39" spans="1:29" ht="35.25" customHeight="1" x14ac:dyDescent="0.35">
      <c r="A39" s="9"/>
      <c r="B39" s="119" t="s">
        <v>107</v>
      </c>
      <c r="C39" s="100" t="s">
        <v>16</v>
      </c>
      <c r="D39" s="110">
        <v>0.01</v>
      </c>
      <c r="E39" s="118" t="s">
        <v>23</v>
      </c>
      <c r="F39" s="30"/>
      <c r="G39" s="107"/>
      <c r="H39" s="107"/>
      <c r="I39" s="99"/>
      <c r="J39" s="107"/>
      <c r="K39" s="99">
        <f>U39*D39</f>
        <v>0.25253619999999999</v>
      </c>
      <c r="L39" s="107"/>
      <c r="M39" s="99">
        <f>SUM(J39:L39)</f>
        <v>0.25253619999999999</v>
      </c>
      <c r="N39" s="30"/>
      <c r="O39" s="17" t="s">
        <v>22</v>
      </c>
      <c r="P39" s="17" t="s">
        <v>21</v>
      </c>
      <c r="Q39" s="17" t="s">
        <v>23</v>
      </c>
      <c r="R39" s="18"/>
      <c r="S39" s="17"/>
      <c r="T39" s="17"/>
      <c r="U39" s="23">
        <f>U40*W40*W39*Y39</f>
        <v>25.253619999999998</v>
      </c>
      <c r="V39" s="23"/>
      <c r="W39" s="27">
        <v>14</v>
      </c>
      <c r="X39" s="20" t="s">
        <v>33</v>
      </c>
      <c r="Y39" s="20">
        <v>0.7</v>
      </c>
      <c r="Z39" s="29"/>
      <c r="AA39" s="20"/>
      <c r="AC39" s="106" t="s">
        <v>182</v>
      </c>
    </row>
    <row r="40" spans="1:29" x14ac:dyDescent="0.35">
      <c r="A40" s="9"/>
      <c r="B40" s="106"/>
      <c r="C40" s="100"/>
      <c r="D40" s="110"/>
      <c r="E40" s="118"/>
      <c r="F40" s="30"/>
      <c r="G40" s="107"/>
      <c r="H40" s="107"/>
      <c r="I40" s="99"/>
      <c r="J40" s="107"/>
      <c r="K40" s="99"/>
      <c r="L40" s="107"/>
      <c r="M40" s="99"/>
      <c r="N40" s="30"/>
      <c r="O40" s="17" t="s">
        <v>32</v>
      </c>
      <c r="P40" s="17" t="s">
        <v>38</v>
      </c>
      <c r="Q40" s="17" t="s">
        <v>34</v>
      </c>
      <c r="R40" s="16"/>
      <c r="S40" s="17"/>
      <c r="T40" s="17"/>
      <c r="U40" s="24">
        <v>7.2999999999999995E-2</v>
      </c>
      <c r="V40" s="24"/>
      <c r="W40" s="20">
        <v>35.299999999999997</v>
      </c>
      <c r="X40" s="20" t="s">
        <v>36</v>
      </c>
      <c r="Y40" s="20"/>
      <c r="Z40" s="29"/>
      <c r="AA40" s="20"/>
      <c r="AC40" s="106"/>
    </row>
    <row r="41" spans="1:29" ht="29" x14ac:dyDescent="0.35">
      <c r="A41" s="9"/>
      <c r="B41" s="106"/>
      <c r="C41" s="100" t="s">
        <v>31</v>
      </c>
      <c r="D41" s="99">
        <v>0.1</v>
      </c>
      <c r="E41" s="99" t="s">
        <v>24</v>
      </c>
      <c r="F41" s="30"/>
      <c r="G41" s="107"/>
      <c r="H41" s="107"/>
      <c r="I41" s="99"/>
      <c r="J41" s="107"/>
      <c r="K41" s="107"/>
      <c r="L41" s="99">
        <f>V41*D41</f>
        <v>0.32850000000000001</v>
      </c>
      <c r="M41" s="99">
        <f>SUM(J41:L41)</f>
        <v>0.32850000000000001</v>
      </c>
      <c r="N41" s="30"/>
      <c r="O41" s="17"/>
      <c r="P41" s="21" t="s">
        <v>93</v>
      </c>
      <c r="Q41" s="21" t="s">
        <v>24</v>
      </c>
      <c r="R41" s="19"/>
      <c r="S41" s="17"/>
      <c r="T41" s="21"/>
      <c r="U41" s="23"/>
      <c r="V41" s="23">
        <f>V42*W41*AA41</f>
        <v>3.2849999999999997</v>
      </c>
      <c r="W41" s="20">
        <v>1.5</v>
      </c>
      <c r="X41" s="20" t="s">
        <v>39</v>
      </c>
      <c r="Y41" s="20"/>
      <c r="Z41" s="29"/>
      <c r="AA41" s="27">
        <v>30</v>
      </c>
      <c r="AC41" s="106"/>
    </row>
    <row r="42" spans="1:29" x14ac:dyDescent="0.35">
      <c r="A42" s="9"/>
      <c r="B42" s="106"/>
      <c r="C42" s="100"/>
      <c r="D42" s="99"/>
      <c r="E42" s="99"/>
      <c r="F42" s="30"/>
      <c r="G42" s="107"/>
      <c r="H42" s="107"/>
      <c r="I42" s="99"/>
      <c r="J42" s="107"/>
      <c r="K42" s="107"/>
      <c r="L42" s="99"/>
      <c r="M42" s="99"/>
      <c r="N42" s="30"/>
      <c r="O42" s="17" t="s">
        <v>32</v>
      </c>
      <c r="P42" s="17" t="s">
        <v>38</v>
      </c>
      <c r="Q42" s="17" t="s">
        <v>34</v>
      </c>
      <c r="R42" s="16"/>
      <c r="S42" s="17"/>
      <c r="T42" s="17"/>
      <c r="U42" s="24"/>
      <c r="V42" s="24">
        <v>7.2999999999999995E-2</v>
      </c>
      <c r="W42" s="20">
        <v>35.299999999999997</v>
      </c>
      <c r="X42" s="20" t="s">
        <v>36</v>
      </c>
      <c r="Y42" s="20"/>
      <c r="Z42" s="29"/>
      <c r="AA42" s="20"/>
      <c r="AC42" s="106"/>
    </row>
    <row r="43" spans="1:29" ht="30" customHeight="1" x14ac:dyDescent="0.35">
      <c r="A43" s="9"/>
      <c r="B43" s="120" t="s">
        <v>108</v>
      </c>
      <c r="C43" s="100" t="s">
        <v>16</v>
      </c>
      <c r="D43" s="110">
        <v>0.01</v>
      </c>
      <c r="E43" s="118" t="s">
        <v>23</v>
      </c>
      <c r="F43" s="30"/>
      <c r="G43" s="107"/>
      <c r="H43" s="107"/>
      <c r="I43" s="99"/>
      <c r="J43" s="107"/>
      <c r="K43" s="99">
        <f>U43*D43</f>
        <v>0.25253619999999999</v>
      </c>
      <c r="L43" s="107"/>
      <c r="M43" s="99">
        <f>SUM(J43:L43)</f>
        <v>0.25253619999999999</v>
      </c>
      <c r="N43" s="30"/>
      <c r="O43" s="17" t="s">
        <v>22</v>
      </c>
      <c r="P43" s="17" t="s">
        <v>21</v>
      </c>
      <c r="Q43" s="17" t="s">
        <v>23</v>
      </c>
      <c r="R43" s="16"/>
      <c r="S43" s="17"/>
      <c r="T43" s="17"/>
      <c r="U43" s="23">
        <f>U44*W44*W43*Y43</f>
        <v>25.253619999999998</v>
      </c>
      <c r="V43" s="23"/>
      <c r="W43" s="27">
        <v>14</v>
      </c>
      <c r="X43" s="20" t="s">
        <v>33</v>
      </c>
      <c r="Y43" s="20">
        <v>0.7</v>
      </c>
      <c r="Z43" s="29"/>
      <c r="AA43" s="20"/>
      <c r="AC43" s="105" t="s">
        <v>183</v>
      </c>
    </row>
    <row r="44" spans="1:29" x14ac:dyDescent="0.35">
      <c r="A44" s="9"/>
      <c r="B44" s="105"/>
      <c r="C44" s="100"/>
      <c r="D44" s="110"/>
      <c r="E44" s="118"/>
      <c r="F44" s="30"/>
      <c r="G44" s="107"/>
      <c r="H44" s="107"/>
      <c r="I44" s="99"/>
      <c r="J44" s="107"/>
      <c r="K44" s="99"/>
      <c r="L44" s="107"/>
      <c r="M44" s="99"/>
      <c r="N44" s="30"/>
      <c r="O44" s="17" t="s">
        <v>32</v>
      </c>
      <c r="P44" s="17" t="s">
        <v>38</v>
      </c>
      <c r="Q44" s="17" t="s">
        <v>34</v>
      </c>
      <c r="R44" s="16"/>
      <c r="S44" s="17"/>
      <c r="T44" s="17"/>
      <c r="U44" s="24">
        <v>7.2999999999999995E-2</v>
      </c>
      <c r="V44" s="24"/>
      <c r="W44" s="20">
        <v>35.299999999999997</v>
      </c>
      <c r="X44" s="20" t="s">
        <v>36</v>
      </c>
      <c r="Y44" s="20"/>
      <c r="Z44" s="29"/>
      <c r="AA44" s="20"/>
      <c r="AC44" s="105"/>
    </row>
    <row r="45" spans="1:29" ht="29" x14ac:dyDescent="0.35">
      <c r="A45" s="9"/>
      <c r="B45" s="105"/>
      <c r="C45" s="100" t="s">
        <v>26</v>
      </c>
      <c r="D45" s="99">
        <v>0.1</v>
      </c>
      <c r="E45" s="99" t="s">
        <v>24</v>
      </c>
      <c r="F45" s="30"/>
      <c r="G45" s="107"/>
      <c r="H45" s="107"/>
      <c r="I45" s="99"/>
      <c r="J45" s="107"/>
      <c r="K45" s="107"/>
      <c r="L45" s="99">
        <f>V45*D45</f>
        <v>0.32850000000000001</v>
      </c>
      <c r="M45" s="99">
        <f>SUM(J45:L45)</f>
        <v>0.32850000000000001</v>
      </c>
      <c r="N45" s="30"/>
      <c r="O45" s="17"/>
      <c r="P45" s="21" t="s">
        <v>93</v>
      </c>
      <c r="Q45" s="21" t="s">
        <v>24</v>
      </c>
      <c r="R45" s="19"/>
      <c r="S45" s="17"/>
      <c r="T45" s="21"/>
      <c r="U45" s="23"/>
      <c r="V45" s="23">
        <f>V46*W45*AA45</f>
        <v>3.2849999999999997</v>
      </c>
      <c r="W45" s="20">
        <v>1.5</v>
      </c>
      <c r="X45" s="20" t="s">
        <v>39</v>
      </c>
      <c r="Y45" s="20"/>
      <c r="Z45" s="29"/>
      <c r="AA45" s="27">
        <v>30</v>
      </c>
      <c r="AC45" s="105"/>
    </row>
    <row r="46" spans="1:29" x14ac:dyDescent="0.35">
      <c r="A46" s="9"/>
      <c r="B46" s="105"/>
      <c r="C46" s="100"/>
      <c r="D46" s="99"/>
      <c r="E46" s="99"/>
      <c r="F46" s="30"/>
      <c r="G46" s="107"/>
      <c r="H46" s="107"/>
      <c r="I46" s="99"/>
      <c r="J46" s="107"/>
      <c r="K46" s="107"/>
      <c r="L46" s="99"/>
      <c r="M46" s="99"/>
      <c r="N46" s="30"/>
      <c r="O46" s="17" t="s">
        <v>32</v>
      </c>
      <c r="P46" s="17" t="s">
        <v>38</v>
      </c>
      <c r="Q46" s="17" t="s">
        <v>34</v>
      </c>
      <c r="R46" s="16"/>
      <c r="S46" s="17"/>
      <c r="T46" s="17"/>
      <c r="U46" s="24"/>
      <c r="V46" s="24">
        <v>7.2999999999999995E-2</v>
      </c>
      <c r="W46" s="20">
        <v>35.299999999999997</v>
      </c>
      <c r="X46" s="20" t="s">
        <v>36</v>
      </c>
      <c r="Y46" s="20"/>
      <c r="Z46" s="29"/>
      <c r="AA46" s="20"/>
      <c r="AC46" s="105"/>
    </row>
    <row r="47" spans="1:29" x14ac:dyDescent="0.35">
      <c r="A47" s="9"/>
      <c r="B47" s="1"/>
      <c r="C47" s="1"/>
      <c r="D47" s="1"/>
      <c r="E47" s="1"/>
      <c r="F47" s="30"/>
      <c r="G47" s="40">
        <f>SUM(G39:G42)</f>
        <v>0</v>
      </c>
      <c r="H47" s="40">
        <f>SUM(H39:H42)</f>
        <v>0</v>
      </c>
      <c r="I47" s="40">
        <f>SUM(I39:I42)</f>
        <v>0</v>
      </c>
      <c r="J47" s="50">
        <f>SUM(J39:J42)</f>
        <v>0</v>
      </c>
      <c r="K47" s="39">
        <f>SUM(K27:K32,K33:K40,K41:K46)</f>
        <v>0.61748567999999993</v>
      </c>
      <c r="L47" s="39">
        <f>SUM(L27:L32,L33:L40,L41:L46)</f>
        <v>0.67671000000000003</v>
      </c>
      <c r="M47" s="51">
        <f>SUM(M27:M32,M33:M40,M41:M46)</f>
        <v>1.2941956800000001</v>
      </c>
      <c r="N47" s="30"/>
      <c r="O47"/>
      <c r="P47" s="1"/>
      <c r="Q47" s="1"/>
      <c r="R47" s="1"/>
      <c r="AB47"/>
    </row>
    <row r="48" spans="1:29" x14ac:dyDescent="0.35">
      <c r="A48" s="9"/>
      <c r="B48" s="1"/>
      <c r="C48" s="1"/>
      <c r="D48" s="1"/>
      <c r="E48" s="1"/>
      <c r="F48" s="30"/>
      <c r="N48" s="30"/>
      <c r="O48" s="1"/>
      <c r="P48" s="1"/>
      <c r="Q48" s="1"/>
      <c r="R48" s="1"/>
    </row>
    <row r="49" spans="1:29" x14ac:dyDescent="0.35">
      <c r="A49" s="11">
        <v>2</v>
      </c>
      <c r="B49" s="6" t="s">
        <v>211</v>
      </c>
      <c r="C49" s="6"/>
      <c r="D49" s="1"/>
      <c r="E49" s="1"/>
      <c r="F49" s="30"/>
      <c r="G49" s="115" t="s">
        <v>60</v>
      </c>
      <c r="H49" s="115"/>
      <c r="I49" s="115"/>
      <c r="J49" s="115"/>
      <c r="K49" s="115"/>
      <c r="L49" s="115"/>
      <c r="M49" s="47"/>
      <c r="N49" s="30"/>
      <c r="O49" s="114" t="s">
        <v>62</v>
      </c>
      <c r="P49" s="114"/>
      <c r="Q49" s="114"/>
      <c r="R49" s="114"/>
      <c r="S49" s="114"/>
      <c r="T49" s="114"/>
      <c r="U49" s="114"/>
      <c r="V49" s="114"/>
      <c r="W49" s="114"/>
      <c r="X49" s="114"/>
      <c r="Y49" s="114"/>
      <c r="AC49" s="91" t="s">
        <v>213</v>
      </c>
    </row>
    <row r="50" spans="1:29" ht="42" customHeight="1" x14ac:dyDescent="0.35">
      <c r="B50" s="56" t="s">
        <v>111</v>
      </c>
      <c r="C50" s="15" t="s">
        <v>15</v>
      </c>
      <c r="D50" s="15" t="s">
        <v>208</v>
      </c>
      <c r="E50" s="15" t="s">
        <v>61</v>
      </c>
      <c r="F50" s="30"/>
      <c r="G50" s="13" t="s">
        <v>1</v>
      </c>
      <c r="H50" s="13" t="s">
        <v>2</v>
      </c>
      <c r="I50" s="14" t="s">
        <v>3</v>
      </c>
      <c r="J50" s="52" t="s">
        <v>20</v>
      </c>
      <c r="K50" s="14" t="s">
        <v>4</v>
      </c>
      <c r="L50" s="14" t="s">
        <v>40</v>
      </c>
      <c r="M50" s="52" t="s">
        <v>102</v>
      </c>
      <c r="N50" s="30"/>
      <c r="O50" s="13" t="s">
        <v>17</v>
      </c>
      <c r="P50" s="13" t="s">
        <v>18</v>
      </c>
      <c r="Q50" s="13" t="s">
        <v>61</v>
      </c>
      <c r="R50" s="13" t="s">
        <v>1</v>
      </c>
      <c r="S50" s="13" t="s">
        <v>2</v>
      </c>
      <c r="T50" s="13" t="s">
        <v>19</v>
      </c>
      <c r="U50" s="13" t="s">
        <v>4</v>
      </c>
      <c r="V50" s="13" t="s">
        <v>41</v>
      </c>
      <c r="W50" s="108" t="s">
        <v>156</v>
      </c>
      <c r="X50" s="108"/>
      <c r="Y50" s="14" t="s">
        <v>35</v>
      </c>
      <c r="Z50" s="31"/>
      <c r="AA50" s="14" t="s">
        <v>42</v>
      </c>
      <c r="AC50" s="14" t="s">
        <v>222</v>
      </c>
    </row>
    <row r="51" spans="1:29" ht="29" x14ac:dyDescent="0.35">
      <c r="A51" s="9"/>
      <c r="B51" s="120" t="s">
        <v>109</v>
      </c>
      <c r="C51" s="100" t="s">
        <v>16</v>
      </c>
      <c r="D51" s="109">
        <v>3.0000000000000001E-3</v>
      </c>
      <c r="E51" s="118" t="s">
        <v>23</v>
      </c>
      <c r="F51" s="30"/>
      <c r="G51" s="107"/>
      <c r="H51" s="107"/>
      <c r="I51" s="99"/>
      <c r="J51" s="107"/>
      <c r="K51" s="99">
        <f>U51*D51</f>
        <v>0.16698311999999998</v>
      </c>
      <c r="L51" s="107"/>
      <c r="M51" s="99">
        <f>SUM(J51:L51)</f>
        <v>0.16698311999999998</v>
      </c>
      <c r="N51" s="30"/>
      <c r="O51" s="17" t="s">
        <v>22</v>
      </c>
      <c r="P51" s="20" t="s">
        <v>49</v>
      </c>
      <c r="Q51" s="20" t="s">
        <v>23</v>
      </c>
      <c r="R51" s="16"/>
      <c r="S51" s="17"/>
      <c r="T51" s="17"/>
      <c r="U51" s="23">
        <f>U52*W52*W51*Y51</f>
        <v>55.661039999999993</v>
      </c>
      <c r="V51" s="23"/>
      <c r="W51" s="27">
        <v>27</v>
      </c>
      <c r="X51" s="20" t="s">
        <v>33</v>
      </c>
      <c r="Y51" s="20">
        <v>0.8</v>
      </c>
      <c r="Z51" s="29"/>
      <c r="AA51" s="20"/>
      <c r="AC51" s="105" t="s">
        <v>184</v>
      </c>
    </row>
    <row r="52" spans="1:29" ht="39" customHeight="1" x14ac:dyDescent="0.35">
      <c r="A52" s="9"/>
      <c r="B52" s="105"/>
      <c r="C52" s="100"/>
      <c r="D52" s="109"/>
      <c r="E52" s="118"/>
      <c r="F52" s="30"/>
      <c r="G52" s="107"/>
      <c r="H52" s="107"/>
      <c r="I52" s="99"/>
      <c r="J52" s="107"/>
      <c r="K52" s="99"/>
      <c r="L52" s="107"/>
      <c r="M52" s="99"/>
      <c r="N52" s="30"/>
      <c r="O52" s="17" t="s">
        <v>32</v>
      </c>
      <c r="P52" s="17" t="s">
        <v>38</v>
      </c>
      <c r="Q52" s="17" t="s">
        <v>34</v>
      </c>
      <c r="R52" s="16"/>
      <c r="S52" s="17"/>
      <c r="T52" s="17"/>
      <c r="U52" s="24">
        <v>7.2999999999999995E-2</v>
      </c>
      <c r="V52" s="24"/>
      <c r="W52" s="20">
        <v>35.299999999999997</v>
      </c>
      <c r="X52" s="20" t="s">
        <v>36</v>
      </c>
      <c r="Y52" s="20"/>
      <c r="Z52" s="29"/>
      <c r="AA52" s="20"/>
      <c r="AC52" s="105"/>
    </row>
    <row r="53" spans="1:29" ht="29" x14ac:dyDescent="0.35">
      <c r="A53" s="9"/>
      <c r="B53" s="119" t="s">
        <v>110</v>
      </c>
      <c r="C53" s="100" t="s">
        <v>16</v>
      </c>
      <c r="D53" s="110">
        <v>0.02</v>
      </c>
      <c r="E53" s="118" t="s">
        <v>23</v>
      </c>
      <c r="F53" s="30"/>
      <c r="G53" s="107"/>
      <c r="H53" s="107"/>
      <c r="I53" s="99"/>
      <c r="J53" s="107"/>
      <c r="K53" s="99">
        <f>U53*D53</f>
        <v>1.1132207999999999</v>
      </c>
      <c r="L53" s="107"/>
      <c r="M53" s="99">
        <f>SUM(J53:L53)</f>
        <v>1.1132207999999999</v>
      </c>
      <c r="N53" s="30"/>
      <c r="O53" s="17" t="s">
        <v>22</v>
      </c>
      <c r="P53" s="20" t="s">
        <v>49</v>
      </c>
      <c r="Q53" s="20" t="s">
        <v>23</v>
      </c>
      <c r="R53" s="16"/>
      <c r="S53" s="17"/>
      <c r="T53" s="17"/>
      <c r="U53" s="23">
        <f>U54*W54*W53*Y53</f>
        <v>55.661039999999993</v>
      </c>
      <c r="V53" s="23"/>
      <c r="W53" s="27">
        <v>27</v>
      </c>
      <c r="X53" s="20" t="s">
        <v>33</v>
      </c>
      <c r="Y53" s="20">
        <v>0.8</v>
      </c>
      <c r="Z53" s="29"/>
      <c r="AA53" s="20"/>
      <c r="AC53" s="106" t="s">
        <v>185</v>
      </c>
    </row>
    <row r="54" spans="1:29" x14ac:dyDescent="0.35">
      <c r="A54" s="9"/>
      <c r="B54" s="106"/>
      <c r="C54" s="100"/>
      <c r="D54" s="110"/>
      <c r="E54" s="118"/>
      <c r="F54" s="30"/>
      <c r="G54" s="107"/>
      <c r="H54" s="107"/>
      <c r="I54" s="99"/>
      <c r="J54" s="107"/>
      <c r="K54" s="99"/>
      <c r="L54" s="107"/>
      <c r="M54" s="99"/>
      <c r="N54" s="30"/>
      <c r="O54" s="17" t="s">
        <v>32</v>
      </c>
      <c r="P54" s="17" t="s">
        <v>38</v>
      </c>
      <c r="Q54" s="17" t="s">
        <v>34</v>
      </c>
      <c r="R54" s="16"/>
      <c r="S54" s="17"/>
      <c r="T54" s="17"/>
      <c r="U54" s="24">
        <v>7.2999999999999995E-2</v>
      </c>
      <c r="V54" s="24"/>
      <c r="W54" s="20">
        <v>35.299999999999997</v>
      </c>
      <c r="X54" s="20" t="s">
        <v>36</v>
      </c>
      <c r="Y54" s="20"/>
      <c r="Z54" s="29"/>
      <c r="AA54" s="20"/>
      <c r="AC54" s="106"/>
    </row>
    <row r="55" spans="1:29" ht="29" x14ac:dyDescent="0.35">
      <c r="A55" s="9"/>
      <c r="B55" s="106"/>
      <c r="C55" s="100" t="s">
        <v>43</v>
      </c>
      <c r="D55" s="99">
        <v>0.1</v>
      </c>
      <c r="E55" s="99" t="s">
        <v>24</v>
      </c>
      <c r="F55" s="30"/>
      <c r="G55" s="107"/>
      <c r="H55" s="107"/>
      <c r="I55" s="99"/>
      <c r="J55" s="107"/>
      <c r="K55" s="107"/>
      <c r="L55" s="99">
        <f>V55*D55</f>
        <v>0.32850000000000001</v>
      </c>
      <c r="M55" s="99">
        <f>SUM(J55:L55)</f>
        <v>0.32850000000000001</v>
      </c>
      <c r="N55" s="30"/>
      <c r="O55" s="17"/>
      <c r="P55" s="21" t="s">
        <v>93</v>
      </c>
      <c r="Q55" s="21" t="s">
        <v>24</v>
      </c>
      <c r="R55" s="19"/>
      <c r="S55" s="17"/>
      <c r="T55" s="21"/>
      <c r="U55" s="23"/>
      <c r="V55" s="23">
        <f>V56*W55*AA55</f>
        <v>3.2849999999999997</v>
      </c>
      <c r="W55" s="20">
        <v>1.5</v>
      </c>
      <c r="X55" s="20" t="s">
        <v>39</v>
      </c>
      <c r="Y55" s="20"/>
      <c r="Z55" s="29"/>
      <c r="AA55" s="27">
        <v>30</v>
      </c>
      <c r="AC55" s="106"/>
    </row>
    <row r="56" spans="1:29" x14ac:dyDescent="0.35">
      <c r="A56" s="9"/>
      <c r="B56" s="106"/>
      <c r="C56" s="100"/>
      <c r="D56" s="99"/>
      <c r="E56" s="99"/>
      <c r="F56" s="30"/>
      <c r="G56" s="107"/>
      <c r="H56" s="107"/>
      <c r="I56" s="99"/>
      <c r="J56" s="107"/>
      <c r="K56" s="107"/>
      <c r="L56" s="99"/>
      <c r="M56" s="99"/>
      <c r="N56" s="30"/>
      <c r="O56" s="17" t="s">
        <v>32</v>
      </c>
      <c r="P56" s="17" t="s">
        <v>38</v>
      </c>
      <c r="Q56" s="17" t="s">
        <v>34</v>
      </c>
      <c r="R56" s="16"/>
      <c r="S56" s="17"/>
      <c r="T56" s="17"/>
      <c r="U56" s="24"/>
      <c r="V56" s="24">
        <v>7.2999999999999995E-2</v>
      </c>
      <c r="W56" s="20">
        <v>35.299999999999997</v>
      </c>
      <c r="X56" s="20" t="s">
        <v>36</v>
      </c>
      <c r="Y56" s="20"/>
      <c r="Z56" s="29"/>
      <c r="AA56" s="20"/>
      <c r="AC56" s="106"/>
    </row>
    <row r="57" spans="1:29" x14ac:dyDescent="0.35">
      <c r="A57" s="9"/>
      <c r="B57" s="1"/>
      <c r="C57" s="1"/>
      <c r="D57" s="1"/>
      <c r="E57" s="1"/>
      <c r="F57" s="30"/>
      <c r="G57" s="40">
        <f t="shared" ref="G57:M57" si="1">SUM(G51,G53,G55)</f>
        <v>0</v>
      </c>
      <c r="H57" s="40">
        <f t="shared" si="1"/>
        <v>0</v>
      </c>
      <c r="I57" s="40">
        <f t="shared" si="1"/>
        <v>0</v>
      </c>
      <c r="J57" s="50">
        <f t="shared" si="1"/>
        <v>0</v>
      </c>
      <c r="K57" s="39">
        <f t="shared" si="1"/>
        <v>1.2802039199999999</v>
      </c>
      <c r="L57" s="39">
        <f t="shared" si="1"/>
        <v>0.32850000000000001</v>
      </c>
      <c r="M57" s="51">
        <f t="shared" si="1"/>
        <v>1.60870392</v>
      </c>
      <c r="N57" s="30"/>
      <c r="O57" s="1"/>
      <c r="P57" s="1"/>
      <c r="Q57" s="1"/>
      <c r="R57" s="1"/>
    </row>
    <row r="58" spans="1:29" x14ac:dyDescent="0.35">
      <c r="A58" s="9"/>
      <c r="B58" s="1"/>
      <c r="C58" s="1"/>
      <c r="D58" s="1"/>
      <c r="E58" s="1"/>
      <c r="F58" s="30"/>
      <c r="N58" s="30"/>
      <c r="O58" s="1"/>
      <c r="P58" s="1"/>
      <c r="Q58" s="1"/>
      <c r="R58" s="1"/>
    </row>
    <row r="59" spans="1:29" x14ac:dyDescent="0.35">
      <c r="A59" s="11">
        <v>3</v>
      </c>
      <c r="B59" s="6" t="s">
        <v>6</v>
      </c>
      <c r="C59" s="6"/>
      <c r="D59" s="1"/>
      <c r="E59" s="1"/>
      <c r="F59" s="30"/>
      <c r="G59" s="117" t="s">
        <v>64</v>
      </c>
      <c r="H59" s="117"/>
      <c r="I59" s="117"/>
      <c r="J59" s="117"/>
      <c r="K59" s="117"/>
      <c r="L59" s="117"/>
      <c r="M59" s="48"/>
      <c r="N59" s="30"/>
      <c r="O59" s="114" t="s">
        <v>62</v>
      </c>
      <c r="P59" s="114"/>
      <c r="Q59" s="114"/>
      <c r="R59" s="114"/>
      <c r="S59" s="114"/>
      <c r="T59" s="114"/>
      <c r="U59" s="114"/>
      <c r="V59" s="114"/>
      <c r="W59" s="114"/>
      <c r="X59" s="114"/>
      <c r="Y59" s="114"/>
      <c r="AC59" s="91" t="s">
        <v>214</v>
      </c>
    </row>
    <row r="60" spans="1:29" ht="29.15" customHeight="1" x14ac:dyDescent="0.35">
      <c r="B60" s="56" t="s">
        <v>111</v>
      </c>
      <c r="C60" s="15" t="s">
        <v>15</v>
      </c>
      <c r="D60" s="15" t="s">
        <v>46</v>
      </c>
      <c r="E60" s="15" t="s">
        <v>61</v>
      </c>
      <c r="F60" s="30"/>
      <c r="G60" s="13" t="s">
        <v>1</v>
      </c>
      <c r="H60" s="13" t="s">
        <v>2</v>
      </c>
      <c r="I60" s="14" t="s">
        <v>3</v>
      </c>
      <c r="J60" s="53" t="s">
        <v>20</v>
      </c>
      <c r="K60" s="14" t="s">
        <v>4</v>
      </c>
      <c r="L60" s="14" t="s">
        <v>40</v>
      </c>
      <c r="M60" s="53" t="s">
        <v>102</v>
      </c>
      <c r="N60" s="30"/>
      <c r="O60" s="13" t="s">
        <v>17</v>
      </c>
      <c r="P60" s="13" t="s">
        <v>18</v>
      </c>
      <c r="Q60" s="13" t="s">
        <v>61</v>
      </c>
      <c r="R60" s="13" t="s">
        <v>1</v>
      </c>
      <c r="S60" s="13" t="s">
        <v>2</v>
      </c>
      <c r="T60" s="13" t="s">
        <v>19</v>
      </c>
      <c r="U60" s="13" t="s">
        <v>4</v>
      </c>
      <c r="V60" s="13" t="s">
        <v>41</v>
      </c>
      <c r="W60" s="108" t="s">
        <v>156</v>
      </c>
      <c r="X60" s="108"/>
      <c r="Y60" s="14" t="s">
        <v>35</v>
      </c>
      <c r="Z60" s="31"/>
      <c r="AC60" s="14" t="s">
        <v>222</v>
      </c>
    </row>
    <row r="61" spans="1:29" x14ac:dyDescent="0.35">
      <c r="A61" s="9"/>
      <c r="B61" s="106" t="s">
        <v>112</v>
      </c>
      <c r="C61" s="7" t="s">
        <v>113</v>
      </c>
      <c r="D61" s="20">
        <v>0.8</v>
      </c>
      <c r="E61" s="20" t="s">
        <v>47</v>
      </c>
      <c r="F61" s="30"/>
      <c r="G61" s="27">
        <f>R61*D61</f>
        <v>221.55200000000002</v>
      </c>
      <c r="H61" s="20">
        <f>S61*D61</f>
        <v>3.5840000000000005</v>
      </c>
      <c r="I61" s="20">
        <f>(G61+H61)*(T61-1)</f>
        <v>0</v>
      </c>
      <c r="J61" s="27">
        <f>SUM(G61:I61)</f>
        <v>225.13600000000002</v>
      </c>
      <c r="K61" s="23"/>
      <c r="L61" s="27"/>
      <c r="M61" s="27">
        <f>SUM(J61:L61)</f>
        <v>225.13600000000002</v>
      </c>
      <c r="N61" s="30"/>
      <c r="O61" s="20" t="s">
        <v>55</v>
      </c>
      <c r="P61" s="20" t="s">
        <v>44</v>
      </c>
      <c r="Q61" s="20" t="s">
        <v>47</v>
      </c>
      <c r="R61" s="20">
        <v>276.94</v>
      </c>
      <c r="S61" s="20">
        <v>4.4800000000000004</v>
      </c>
      <c r="T61" s="23">
        <v>1</v>
      </c>
      <c r="U61" s="20"/>
      <c r="V61" s="20"/>
      <c r="W61" s="27">
        <v>122</v>
      </c>
      <c r="X61" s="20" t="s">
        <v>63</v>
      </c>
      <c r="Y61" s="20"/>
      <c r="Z61" s="29"/>
      <c r="AC61" s="106" t="s">
        <v>186</v>
      </c>
    </row>
    <row r="62" spans="1:29" ht="14.5" customHeight="1" x14ac:dyDescent="0.35">
      <c r="A62" s="9"/>
      <c r="B62" s="106"/>
      <c r="C62" s="45" t="s">
        <v>227</v>
      </c>
      <c r="D62" s="27">
        <v>16</v>
      </c>
      <c r="E62" s="20" t="s">
        <v>45</v>
      </c>
      <c r="F62" s="30"/>
      <c r="G62" s="27">
        <f>R62*D62</f>
        <v>40.32</v>
      </c>
      <c r="H62" s="20">
        <f>S62*D62</f>
        <v>1.272</v>
      </c>
      <c r="I62" s="20">
        <f>(G62+H62)*(T62-1)</f>
        <v>2.0796000000000019</v>
      </c>
      <c r="J62" s="27">
        <f>SUM(G62:I62)</f>
        <v>43.671599999999998</v>
      </c>
      <c r="K62" s="23"/>
      <c r="L62" s="23"/>
      <c r="M62" s="27">
        <f>SUM(J62:L62)</f>
        <v>43.671599999999998</v>
      </c>
      <c r="N62" s="30"/>
      <c r="O62" s="20" t="s">
        <v>32</v>
      </c>
      <c r="P62" s="20" t="s">
        <v>65</v>
      </c>
      <c r="Q62" s="20" t="s">
        <v>45</v>
      </c>
      <c r="R62" s="23">
        <v>2.52</v>
      </c>
      <c r="S62" s="24">
        <v>7.9500000000000001E-2</v>
      </c>
      <c r="T62" s="23">
        <v>1.05</v>
      </c>
      <c r="U62" s="20"/>
      <c r="V62" s="20"/>
      <c r="W62" s="20">
        <v>7850</v>
      </c>
      <c r="X62" s="20" t="s">
        <v>56</v>
      </c>
      <c r="Y62" s="20"/>
      <c r="Z62" s="29"/>
      <c r="AC62" s="106"/>
    </row>
    <row r="63" spans="1:29" ht="14.5" customHeight="1" x14ac:dyDescent="0.35">
      <c r="A63" s="9"/>
      <c r="B63" s="106"/>
      <c r="C63" s="45" t="s">
        <v>228</v>
      </c>
      <c r="D63" s="20">
        <v>2</v>
      </c>
      <c r="E63" s="20" t="s">
        <v>45</v>
      </c>
      <c r="F63" s="30"/>
      <c r="G63" s="20">
        <f>R63*D63</f>
        <v>5.04</v>
      </c>
      <c r="H63" s="20">
        <f>S63*D63</f>
        <v>0.159</v>
      </c>
      <c r="I63" s="20">
        <f>(G63+H63)*(T63-1)</f>
        <v>0.25995000000000024</v>
      </c>
      <c r="J63" s="20">
        <f>SUM(G63:I63)</f>
        <v>5.4589499999999997</v>
      </c>
      <c r="K63" s="27"/>
      <c r="L63" s="27"/>
      <c r="M63" s="20">
        <f>SUM(J63:L63)</f>
        <v>5.4589499999999997</v>
      </c>
      <c r="N63" s="30"/>
      <c r="O63" s="20" t="s">
        <v>32</v>
      </c>
      <c r="P63" s="20" t="s">
        <v>65</v>
      </c>
      <c r="Q63" s="20" t="s">
        <v>45</v>
      </c>
      <c r="R63" s="23">
        <v>2.52</v>
      </c>
      <c r="S63" s="24">
        <v>7.9500000000000001E-2</v>
      </c>
      <c r="T63" s="23">
        <v>1.05</v>
      </c>
      <c r="U63" s="20"/>
      <c r="V63" s="20"/>
      <c r="W63" s="20">
        <v>7850</v>
      </c>
      <c r="X63" s="20" t="s">
        <v>56</v>
      </c>
      <c r="Y63" s="20"/>
      <c r="Z63" s="29"/>
      <c r="AC63" s="106"/>
    </row>
    <row r="64" spans="1:29" x14ac:dyDescent="0.35">
      <c r="A64" s="9"/>
      <c r="B64" s="116" t="s">
        <v>91</v>
      </c>
      <c r="C64" s="45" t="s">
        <v>11</v>
      </c>
      <c r="D64" s="20">
        <v>1.7</v>
      </c>
      <c r="E64" s="20" t="s">
        <v>28</v>
      </c>
      <c r="F64" s="30"/>
      <c r="G64" s="27"/>
      <c r="H64" s="27"/>
      <c r="I64" s="20"/>
      <c r="J64" s="27"/>
      <c r="K64" s="20">
        <f>U64*D64</f>
        <v>4.3807299999999998</v>
      </c>
      <c r="L64" s="27"/>
      <c r="M64" s="20">
        <f>SUM(J64:L64)</f>
        <v>4.3807299999999998</v>
      </c>
      <c r="N64" s="30"/>
      <c r="O64" s="17" t="s">
        <v>32</v>
      </c>
      <c r="P64" s="17" t="s">
        <v>38</v>
      </c>
      <c r="Q64" s="17" t="s">
        <v>28</v>
      </c>
      <c r="R64" s="16"/>
      <c r="S64" s="17"/>
      <c r="T64" s="17"/>
      <c r="U64" s="24">
        <f>0.073*W64</f>
        <v>2.5768999999999997</v>
      </c>
      <c r="V64" s="24"/>
      <c r="W64" s="20">
        <v>35.299999999999997</v>
      </c>
      <c r="X64" s="20" t="s">
        <v>36</v>
      </c>
      <c r="Y64" s="20"/>
      <c r="Z64" s="29"/>
      <c r="AC64" s="100"/>
    </row>
    <row r="65" spans="1:29" ht="29" x14ac:dyDescent="0.35">
      <c r="A65" s="9"/>
      <c r="B65" s="116"/>
      <c r="C65" s="116" t="s">
        <v>50</v>
      </c>
      <c r="D65" s="110">
        <v>0.01</v>
      </c>
      <c r="E65" s="118" t="s">
        <v>23</v>
      </c>
      <c r="F65" s="30"/>
      <c r="G65" s="107"/>
      <c r="H65" s="107"/>
      <c r="I65" s="121"/>
      <c r="J65" s="107"/>
      <c r="K65" s="99">
        <f>U65*D65</f>
        <v>0.55661039999999995</v>
      </c>
      <c r="L65" s="107"/>
      <c r="M65" s="99">
        <f>SUM(J65:L65)</f>
        <v>0.55661039999999995</v>
      </c>
      <c r="N65" s="30"/>
      <c r="O65" s="17" t="s">
        <v>22</v>
      </c>
      <c r="P65" s="20" t="s">
        <v>49</v>
      </c>
      <c r="Q65" s="20" t="s">
        <v>23</v>
      </c>
      <c r="R65" s="16"/>
      <c r="S65" s="17"/>
      <c r="T65" s="17"/>
      <c r="U65" s="23">
        <f>U66*W66*W65*Y65</f>
        <v>55.661039999999993</v>
      </c>
      <c r="V65" s="23"/>
      <c r="W65" s="27">
        <v>27</v>
      </c>
      <c r="X65" s="20" t="s">
        <v>33</v>
      </c>
      <c r="Y65" s="20">
        <v>0.8</v>
      </c>
      <c r="Z65" s="29"/>
      <c r="AC65" s="100"/>
    </row>
    <row r="66" spans="1:29" x14ac:dyDescent="0.35">
      <c r="A66" s="9"/>
      <c r="B66" s="116"/>
      <c r="C66" s="116"/>
      <c r="D66" s="110"/>
      <c r="E66" s="118"/>
      <c r="F66" s="30"/>
      <c r="G66" s="107"/>
      <c r="H66" s="107"/>
      <c r="I66" s="122"/>
      <c r="J66" s="107"/>
      <c r="K66" s="99"/>
      <c r="L66" s="107"/>
      <c r="M66" s="99"/>
      <c r="N66" s="30"/>
      <c r="O66" s="17" t="s">
        <v>32</v>
      </c>
      <c r="P66" s="17" t="s">
        <v>38</v>
      </c>
      <c r="Q66" s="17" t="s">
        <v>34</v>
      </c>
      <c r="R66" s="16"/>
      <c r="S66" s="17"/>
      <c r="T66" s="17"/>
      <c r="U66" s="24">
        <v>7.2999999999999995E-2</v>
      </c>
      <c r="V66" s="24"/>
      <c r="W66" s="20">
        <v>35.299999999999997</v>
      </c>
      <c r="X66" s="20" t="s">
        <v>36</v>
      </c>
      <c r="Y66" s="20"/>
      <c r="Z66" s="29"/>
      <c r="AC66" s="100"/>
    </row>
    <row r="67" spans="1:29" ht="43.5" customHeight="1" x14ac:dyDescent="0.35">
      <c r="A67" s="9"/>
      <c r="B67" s="45" t="s">
        <v>114</v>
      </c>
      <c r="C67" s="37" t="s">
        <v>115</v>
      </c>
      <c r="D67" s="20">
        <v>0.1</v>
      </c>
      <c r="E67" s="20" t="s">
        <v>53</v>
      </c>
      <c r="F67" s="30"/>
      <c r="G67" s="27"/>
      <c r="H67" s="27"/>
      <c r="I67" s="20"/>
      <c r="J67" s="20"/>
      <c r="K67" s="20">
        <f>U67*D67</f>
        <v>0.14399999999999999</v>
      </c>
      <c r="L67" s="20">
        <f>V67*D67</f>
        <v>0.54500000000000004</v>
      </c>
      <c r="M67" s="20">
        <f>SUM(J67:L67)</f>
        <v>0.68900000000000006</v>
      </c>
      <c r="N67" s="30"/>
      <c r="O67" s="17" t="s">
        <v>164</v>
      </c>
      <c r="P67" s="17" t="s">
        <v>59</v>
      </c>
      <c r="Q67" s="17" t="s">
        <v>53</v>
      </c>
      <c r="R67" s="16"/>
      <c r="S67" s="23"/>
      <c r="T67" s="17"/>
      <c r="U67" s="23">
        <v>1.44</v>
      </c>
      <c r="V67" s="23">
        <v>5.45</v>
      </c>
      <c r="W67" s="20"/>
      <c r="X67" s="20"/>
      <c r="Y67" s="20"/>
      <c r="Z67" s="29"/>
      <c r="AC67" s="7" t="s">
        <v>187</v>
      </c>
    </row>
    <row r="68" spans="1:29" x14ac:dyDescent="0.35">
      <c r="A68" s="9"/>
      <c r="B68" s="1"/>
      <c r="C68" s="1"/>
      <c r="D68" s="1"/>
      <c r="E68" s="1"/>
      <c r="F68" s="1"/>
      <c r="G68" s="40">
        <f t="shared" ref="G68:M68" si="2">SUM(G61:G67)</f>
        <v>266.91200000000003</v>
      </c>
      <c r="H68" s="39">
        <f t="shared" si="2"/>
        <v>5.0150000000000006</v>
      </c>
      <c r="I68" s="39">
        <f t="shared" si="2"/>
        <v>2.3395500000000022</v>
      </c>
      <c r="J68" s="54">
        <f t="shared" si="2"/>
        <v>274.26655000000005</v>
      </c>
      <c r="K68" s="39">
        <f t="shared" si="2"/>
        <v>5.0813404000000002</v>
      </c>
      <c r="L68" s="39">
        <f t="shared" si="2"/>
        <v>0.54500000000000004</v>
      </c>
      <c r="M68" s="54">
        <f t="shared" si="2"/>
        <v>279.89289040000006</v>
      </c>
      <c r="N68" s="1"/>
      <c r="O68" s="1"/>
      <c r="P68" s="1"/>
      <c r="Q68" s="1"/>
      <c r="R68" s="1"/>
    </row>
    <row r="69" spans="1:29" x14ac:dyDescent="0.35">
      <c r="A69" s="9"/>
      <c r="B69" s="1"/>
      <c r="C69" s="1"/>
      <c r="D69" s="1"/>
      <c r="E69" s="1"/>
      <c r="F69" s="1"/>
      <c r="N69" s="1"/>
      <c r="O69" s="1"/>
      <c r="P69" s="1"/>
      <c r="Q69" s="1"/>
      <c r="R69" s="1"/>
    </row>
    <row r="70" spans="1:29" x14ac:dyDescent="0.35">
      <c r="A70" s="11">
        <v>4</v>
      </c>
      <c r="B70" s="6" t="s">
        <v>51</v>
      </c>
      <c r="C70" s="6"/>
      <c r="D70" s="1"/>
      <c r="E70" s="1"/>
      <c r="F70" s="1"/>
      <c r="G70" s="117" t="s">
        <v>64</v>
      </c>
      <c r="H70" s="117"/>
      <c r="I70" s="117"/>
      <c r="J70" s="117"/>
      <c r="K70" s="117"/>
      <c r="L70" s="117"/>
      <c r="M70" s="48"/>
      <c r="N70" s="1"/>
      <c r="O70" s="114" t="s">
        <v>62</v>
      </c>
      <c r="P70" s="114"/>
      <c r="Q70" s="114"/>
      <c r="R70" s="114"/>
      <c r="S70" s="114"/>
      <c r="T70" s="114"/>
      <c r="U70" s="114"/>
      <c r="V70" s="114"/>
      <c r="W70" s="114"/>
      <c r="X70" s="114"/>
      <c r="Y70" s="114"/>
      <c r="AC70" s="91" t="s">
        <v>215</v>
      </c>
    </row>
    <row r="71" spans="1:29" ht="29.15" customHeight="1" x14ac:dyDescent="0.35">
      <c r="B71" s="56" t="s">
        <v>111</v>
      </c>
      <c r="C71" s="15" t="s">
        <v>15</v>
      </c>
      <c r="D71" s="15" t="s">
        <v>46</v>
      </c>
      <c r="E71" s="15" t="s">
        <v>61</v>
      </c>
      <c r="F71" s="33"/>
      <c r="G71" s="13" t="s">
        <v>1</v>
      </c>
      <c r="H71" s="13" t="s">
        <v>2</v>
      </c>
      <c r="I71" s="14" t="s">
        <v>3</v>
      </c>
      <c r="J71" s="53" t="s">
        <v>20</v>
      </c>
      <c r="K71" s="14" t="s">
        <v>4</v>
      </c>
      <c r="L71" s="14" t="s">
        <v>40</v>
      </c>
      <c r="M71" s="53" t="s">
        <v>102</v>
      </c>
      <c r="N71" s="33"/>
      <c r="O71" s="13" t="s">
        <v>17</v>
      </c>
      <c r="P71" s="13" t="s">
        <v>18</v>
      </c>
      <c r="Q71" s="13" t="s">
        <v>61</v>
      </c>
      <c r="R71" s="13" t="s">
        <v>1</v>
      </c>
      <c r="S71" s="13" t="s">
        <v>2</v>
      </c>
      <c r="T71" s="13" t="s">
        <v>19</v>
      </c>
      <c r="U71" s="13" t="s">
        <v>4</v>
      </c>
      <c r="V71" s="13" t="s">
        <v>41</v>
      </c>
      <c r="W71" s="108" t="s">
        <v>156</v>
      </c>
      <c r="X71" s="108"/>
      <c r="Y71" s="14" t="s">
        <v>35</v>
      </c>
      <c r="AC71" s="14" t="s">
        <v>222</v>
      </c>
    </row>
    <row r="72" spans="1:29" ht="29" x14ac:dyDescent="0.35">
      <c r="A72" s="9"/>
      <c r="B72" s="100" t="s">
        <v>116</v>
      </c>
      <c r="C72" s="7" t="s">
        <v>92</v>
      </c>
      <c r="D72" s="20">
        <v>2</v>
      </c>
      <c r="E72" s="7" t="s">
        <v>53</v>
      </c>
      <c r="F72" s="30"/>
      <c r="G72" s="20">
        <f t="shared" ref="G72:G78" si="3">R72*D72</f>
        <v>8.7200000000000006</v>
      </c>
      <c r="H72" s="20">
        <f t="shared" ref="H72:H78" si="4">S72*D72</f>
        <v>10.9</v>
      </c>
      <c r="I72" s="20">
        <f t="shared" ref="I72:I78" si="5">(G72+H72)*(T72-1)</f>
        <v>1.9620000000000017</v>
      </c>
      <c r="J72" s="27">
        <f>SUM(G72:I72)</f>
        <v>21.582000000000004</v>
      </c>
      <c r="K72" s="20">
        <f>U72*D72</f>
        <v>3.1999999999999997</v>
      </c>
      <c r="L72" s="23"/>
      <c r="M72" s="27">
        <f>SUM(J72:L72)</f>
        <v>24.782000000000004</v>
      </c>
      <c r="N72" s="30"/>
      <c r="O72" s="17" t="s">
        <v>164</v>
      </c>
      <c r="P72" s="17" t="s">
        <v>57</v>
      </c>
      <c r="Q72" s="7" t="s">
        <v>53</v>
      </c>
      <c r="R72" s="19">
        <v>4.3600000000000003</v>
      </c>
      <c r="S72" s="23">
        <v>5.45</v>
      </c>
      <c r="T72" s="25">
        <v>1.1000000000000001</v>
      </c>
      <c r="U72" s="25">
        <f>1.44+0.16</f>
        <v>1.5999999999999999</v>
      </c>
      <c r="V72" s="25"/>
      <c r="W72" s="22">
        <v>1600</v>
      </c>
      <c r="X72" s="22" t="s">
        <v>56</v>
      </c>
      <c r="Y72" s="20"/>
      <c r="AC72" s="100" t="s">
        <v>188</v>
      </c>
    </row>
    <row r="73" spans="1:29" ht="29" x14ac:dyDescent="0.35">
      <c r="A73" s="9"/>
      <c r="B73" s="100"/>
      <c r="C73" s="58" t="s">
        <v>173</v>
      </c>
      <c r="D73" s="20">
        <v>0.5</v>
      </c>
      <c r="E73" s="7" t="s">
        <v>53</v>
      </c>
      <c r="F73" s="30"/>
      <c r="G73" s="27">
        <f t="shared" si="3"/>
        <v>48.984999999999999</v>
      </c>
      <c r="H73" s="27">
        <f t="shared" si="4"/>
        <v>10.07</v>
      </c>
      <c r="I73" s="20">
        <f t="shared" si="5"/>
        <v>2.9527500000000027</v>
      </c>
      <c r="J73" s="27">
        <f>SUM(G73:I73)</f>
        <v>62.007750000000001</v>
      </c>
      <c r="K73" s="20">
        <f>U73*D73</f>
        <v>0.83499999999999996</v>
      </c>
      <c r="L73" s="22"/>
      <c r="M73" s="27">
        <f>SUM(J73:L73)</f>
        <v>62.842750000000002</v>
      </c>
      <c r="N73" s="30"/>
      <c r="O73" s="17" t="s">
        <v>164</v>
      </c>
      <c r="P73" s="7" t="s">
        <v>58</v>
      </c>
      <c r="Q73" s="7" t="s">
        <v>53</v>
      </c>
      <c r="R73" s="19">
        <v>97.97</v>
      </c>
      <c r="S73" s="23">
        <v>20.14</v>
      </c>
      <c r="T73" s="25">
        <v>1.05</v>
      </c>
      <c r="U73" s="25">
        <v>1.67</v>
      </c>
      <c r="V73" s="25"/>
      <c r="W73" s="22">
        <v>296</v>
      </c>
      <c r="X73" s="22" t="s">
        <v>56</v>
      </c>
      <c r="Y73" s="22"/>
      <c r="AC73" s="100"/>
    </row>
    <row r="74" spans="1:29" x14ac:dyDescent="0.35">
      <c r="A74" s="9"/>
      <c r="B74" s="100"/>
      <c r="C74" s="75" t="s">
        <v>169</v>
      </c>
      <c r="D74" s="76">
        <v>0</v>
      </c>
      <c r="E74" s="77" t="s">
        <v>53</v>
      </c>
      <c r="F74" s="30"/>
      <c r="G74" s="78">
        <f t="shared" si="3"/>
        <v>0</v>
      </c>
      <c r="H74" s="78">
        <f t="shared" si="4"/>
        <v>0</v>
      </c>
      <c r="I74" s="78">
        <f t="shared" si="5"/>
        <v>0</v>
      </c>
      <c r="J74" s="78">
        <f>SUM(G74:I74)</f>
        <v>0</v>
      </c>
      <c r="K74" s="78">
        <f>U74*D74</f>
        <v>0</v>
      </c>
      <c r="L74" s="79"/>
      <c r="M74" s="78">
        <f>SUM(J74:L74)</f>
        <v>0</v>
      </c>
      <c r="N74" s="30"/>
      <c r="O74" s="80" t="s">
        <v>164</v>
      </c>
      <c r="P74" s="77" t="s">
        <v>171</v>
      </c>
      <c r="Q74" s="77" t="s">
        <v>53</v>
      </c>
      <c r="R74" s="81">
        <v>96.74</v>
      </c>
      <c r="S74" s="82">
        <v>1.05</v>
      </c>
      <c r="T74" s="83">
        <v>1.03</v>
      </c>
      <c r="U74" s="83">
        <v>0</v>
      </c>
      <c r="V74" s="83"/>
      <c r="W74" s="79">
        <v>30</v>
      </c>
      <c r="X74" s="79" t="s">
        <v>56</v>
      </c>
      <c r="Y74" s="79"/>
      <c r="AC74" s="100"/>
    </row>
    <row r="75" spans="1:29" x14ac:dyDescent="0.35">
      <c r="A75" s="9"/>
      <c r="B75" s="100"/>
      <c r="C75" s="75" t="s">
        <v>170</v>
      </c>
      <c r="D75" s="76">
        <v>0</v>
      </c>
      <c r="E75" s="77" t="s">
        <v>53</v>
      </c>
      <c r="F75" s="30"/>
      <c r="G75" s="78">
        <f t="shared" si="3"/>
        <v>0</v>
      </c>
      <c r="H75" s="78">
        <f t="shared" si="4"/>
        <v>0</v>
      </c>
      <c r="I75" s="78">
        <f t="shared" si="5"/>
        <v>0</v>
      </c>
      <c r="J75" s="78">
        <f>SUM(G75:I75)</f>
        <v>0</v>
      </c>
      <c r="K75" s="78">
        <f>U75*D75</f>
        <v>0</v>
      </c>
      <c r="L75" s="79"/>
      <c r="M75" s="78">
        <f>SUM(J75:L75)</f>
        <v>0</v>
      </c>
      <c r="N75" s="30"/>
      <c r="O75" s="80" t="s">
        <v>164</v>
      </c>
      <c r="P75" s="77" t="s">
        <v>172</v>
      </c>
      <c r="Q75" s="77" t="s">
        <v>53</v>
      </c>
      <c r="R75" s="81">
        <v>28.92</v>
      </c>
      <c r="S75" s="82">
        <v>6.13</v>
      </c>
      <c r="T75" s="83">
        <v>1.05</v>
      </c>
      <c r="U75" s="83">
        <v>1.88</v>
      </c>
      <c r="V75" s="83"/>
      <c r="W75" s="79">
        <v>255</v>
      </c>
      <c r="X75" s="79" t="s">
        <v>56</v>
      </c>
      <c r="Y75" s="79"/>
      <c r="AC75" s="100"/>
    </row>
    <row r="76" spans="1:29" x14ac:dyDescent="0.35">
      <c r="A76" s="9"/>
      <c r="B76" s="45" t="s">
        <v>117</v>
      </c>
      <c r="C76" s="37" t="s">
        <v>118</v>
      </c>
      <c r="D76" s="20">
        <v>2</v>
      </c>
      <c r="E76" s="20" t="s">
        <v>47</v>
      </c>
      <c r="F76" s="30"/>
      <c r="G76" s="20">
        <f t="shared" si="3"/>
        <v>1.5</v>
      </c>
      <c r="H76" s="20">
        <f t="shared" si="4"/>
        <v>0.04</v>
      </c>
      <c r="I76" s="20">
        <f t="shared" si="5"/>
        <v>0.30799999999999994</v>
      </c>
      <c r="J76" s="20">
        <f t="shared" ref="J76:J78" si="6">SUM(G76:I76)</f>
        <v>1.8479999999999999</v>
      </c>
      <c r="K76" s="23"/>
      <c r="L76" s="23"/>
      <c r="M76" s="20">
        <f t="shared" ref="M76:M78" si="7">SUM(J76:L76)</f>
        <v>1.8479999999999999</v>
      </c>
      <c r="N76" s="30"/>
      <c r="O76" s="17" t="s">
        <v>164</v>
      </c>
      <c r="P76" s="17" t="s">
        <v>52</v>
      </c>
      <c r="Q76" s="20" t="s">
        <v>47</v>
      </c>
      <c r="R76" s="18">
        <v>0.75</v>
      </c>
      <c r="S76" s="23">
        <v>0.02</v>
      </c>
      <c r="T76" s="25">
        <v>1.2</v>
      </c>
      <c r="U76" s="23"/>
      <c r="V76" s="23"/>
      <c r="W76" s="24">
        <v>0.24299999999999999</v>
      </c>
      <c r="X76" s="20" t="s">
        <v>63</v>
      </c>
      <c r="Y76" s="20"/>
      <c r="AC76" s="7" t="s">
        <v>189</v>
      </c>
    </row>
    <row r="77" spans="1:29" ht="29" x14ac:dyDescent="0.35">
      <c r="A77" s="9"/>
      <c r="B77" s="128" t="s">
        <v>119</v>
      </c>
      <c r="C77" s="45" t="s">
        <v>81</v>
      </c>
      <c r="D77" s="20">
        <v>0.2</v>
      </c>
      <c r="E77" s="27" t="s">
        <v>53</v>
      </c>
      <c r="F77" s="30"/>
      <c r="G77" s="27">
        <f t="shared" si="3"/>
        <v>54.52000000000001</v>
      </c>
      <c r="H77" s="20">
        <f t="shared" si="4"/>
        <v>1.833</v>
      </c>
      <c r="I77" s="20">
        <f t="shared" si="5"/>
        <v>1.6905900000000018</v>
      </c>
      <c r="J77" s="27">
        <f t="shared" si="6"/>
        <v>58.043590000000009</v>
      </c>
      <c r="K77" s="23"/>
      <c r="L77" s="23"/>
      <c r="M77" s="27">
        <f t="shared" si="7"/>
        <v>58.043590000000009</v>
      </c>
      <c r="N77" s="30"/>
      <c r="O77" s="17" t="s">
        <v>32</v>
      </c>
      <c r="P77" s="17" t="s">
        <v>84</v>
      </c>
      <c r="Q77" s="27" t="s">
        <v>53</v>
      </c>
      <c r="R77" s="8">
        <f>0.116*W77</f>
        <v>272.60000000000002</v>
      </c>
      <c r="S77" s="20">
        <f>0.0039*W77</f>
        <v>9.1649999999999991</v>
      </c>
      <c r="T77" s="23">
        <v>1.03</v>
      </c>
      <c r="U77" s="23"/>
      <c r="V77" s="23"/>
      <c r="W77" s="20">
        <v>2350</v>
      </c>
      <c r="X77" s="20" t="s">
        <v>56</v>
      </c>
      <c r="Y77" s="20"/>
      <c r="AC77" s="107" t="s">
        <v>190</v>
      </c>
    </row>
    <row r="78" spans="1:29" ht="29" x14ac:dyDescent="0.35">
      <c r="A78" s="9"/>
      <c r="B78" s="128"/>
      <c r="C78" s="45" t="s">
        <v>82</v>
      </c>
      <c r="D78" s="23">
        <v>0.01</v>
      </c>
      <c r="E78" s="22" t="s">
        <v>24</v>
      </c>
      <c r="F78" s="30"/>
      <c r="G78" s="20">
        <f t="shared" si="3"/>
        <v>5.96</v>
      </c>
      <c r="H78" s="20">
        <f t="shared" si="4"/>
        <v>0.79500000000000004</v>
      </c>
      <c r="I78" s="20">
        <f t="shared" si="5"/>
        <v>0.60795000000000055</v>
      </c>
      <c r="J78" s="20">
        <f t="shared" si="6"/>
        <v>7.3629500000000005</v>
      </c>
      <c r="K78" s="23"/>
      <c r="L78" s="23"/>
      <c r="M78" s="20">
        <f t="shared" si="7"/>
        <v>7.3629500000000005</v>
      </c>
      <c r="N78" s="30"/>
      <c r="O78" s="17" t="s">
        <v>32</v>
      </c>
      <c r="P78" s="17" t="s">
        <v>85</v>
      </c>
      <c r="Q78" s="22" t="s">
        <v>24</v>
      </c>
      <c r="R78" s="18">
        <v>596</v>
      </c>
      <c r="S78" s="20">
        <v>79.5</v>
      </c>
      <c r="T78" s="23">
        <v>1.0900000000000001</v>
      </c>
      <c r="U78" s="23"/>
      <c r="V78" s="23"/>
      <c r="W78" s="20">
        <v>7850</v>
      </c>
      <c r="X78" s="20" t="s">
        <v>56</v>
      </c>
      <c r="Y78" s="20"/>
      <c r="AC78" s="107"/>
    </row>
    <row r="79" spans="1:29" x14ac:dyDescent="0.35">
      <c r="A79" s="9"/>
      <c r="B79" s="116" t="s">
        <v>114</v>
      </c>
      <c r="C79" s="37" t="s">
        <v>115</v>
      </c>
      <c r="D79" s="20">
        <v>2</v>
      </c>
      <c r="E79" s="20" t="s">
        <v>53</v>
      </c>
      <c r="F79" s="30"/>
      <c r="G79" s="27"/>
      <c r="H79" s="27"/>
      <c r="I79" s="20"/>
      <c r="J79" s="20"/>
      <c r="K79" s="20">
        <f>U79*D79</f>
        <v>2.88</v>
      </c>
      <c r="L79" s="27">
        <f>V79*D79</f>
        <v>10.9</v>
      </c>
      <c r="M79" s="27">
        <f>SUM(J79:L79)</f>
        <v>13.780000000000001</v>
      </c>
      <c r="N79" s="30"/>
      <c r="O79" s="17" t="s">
        <v>164</v>
      </c>
      <c r="P79" s="17" t="s">
        <v>59</v>
      </c>
      <c r="Q79" s="20" t="s">
        <v>53</v>
      </c>
      <c r="R79" s="16"/>
      <c r="S79" s="23"/>
      <c r="T79" s="17"/>
      <c r="U79" s="23">
        <v>1.44</v>
      </c>
      <c r="V79" s="23">
        <v>5.45</v>
      </c>
      <c r="W79" s="20"/>
      <c r="X79" s="20"/>
      <c r="Y79" s="20"/>
      <c r="AC79" s="100" t="s">
        <v>187</v>
      </c>
    </row>
    <row r="80" spans="1:29" ht="29" x14ac:dyDescent="0.35">
      <c r="A80" s="9"/>
      <c r="B80" s="100"/>
      <c r="C80" s="58" t="s">
        <v>120</v>
      </c>
      <c r="D80" s="20">
        <v>2</v>
      </c>
      <c r="E80" s="20" t="s">
        <v>53</v>
      </c>
      <c r="F80" s="30"/>
      <c r="G80" s="20">
        <f>R80*D80</f>
        <v>2.64</v>
      </c>
      <c r="H80" s="20"/>
      <c r="I80" s="20"/>
      <c r="J80" s="20">
        <f t="shared" ref="J80" si="8">SUM(G80:I80)</f>
        <v>2.64</v>
      </c>
      <c r="K80" s="20">
        <f>U80*D80</f>
        <v>1.96</v>
      </c>
      <c r="L80" s="27">
        <f>V80*D80</f>
        <v>19.32</v>
      </c>
      <c r="M80" s="27">
        <f>SUM(J80:L80)</f>
        <v>23.92</v>
      </c>
      <c r="N80" s="30"/>
      <c r="O80" s="20" t="s">
        <v>55</v>
      </c>
      <c r="P80" s="20" t="s">
        <v>54</v>
      </c>
      <c r="Q80" s="20" t="s">
        <v>53</v>
      </c>
      <c r="R80" s="19">
        <v>1.32</v>
      </c>
      <c r="S80" s="17"/>
      <c r="T80" s="17"/>
      <c r="U80" s="23">
        <v>0.98</v>
      </c>
      <c r="V80" s="23">
        <v>9.66</v>
      </c>
      <c r="W80" s="20">
        <v>2700</v>
      </c>
      <c r="X80" s="20" t="s">
        <v>56</v>
      </c>
      <c r="Y80" s="20"/>
      <c r="AC80" s="100"/>
    </row>
    <row r="81" spans="1:29" x14ac:dyDescent="0.35">
      <c r="G81" s="40">
        <f t="shared" ref="G81:L81" si="9">SUM(G72:G80)</f>
        <v>122.325</v>
      </c>
      <c r="H81" s="40">
        <f t="shared" si="9"/>
        <v>23.637999999999998</v>
      </c>
      <c r="I81" s="39">
        <f t="shared" si="9"/>
        <v>7.5212900000000067</v>
      </c>
      <c r="J81" s="54">
        <f t="shared" si="9"/>
        <v>153.48429000000002</v>
      </c>
      <c r="K81" s="39">
        <f t="shared" si="9"/>
        <v>8.875</v>
      </c>
      <c r="L81" s="40">
        <f t="shared" si="9"/>
        <v>30.22</v>
      </c>
      <c r="M81" s="54">
        <f>SUM(M72:M80)</f>
        <v>192.57929000000001</v>
      </c>
    </row>
    <row r="82" spans="1:29" x14ac:dyDescent="0.35">
      <c r="M82" s="57">
        <f>M81-M73-M77-M78-M80</f>
        <v>40.410000000000011</v>
      </c>
      <c r="N82" s="1" t="s">
        <v>121</v>
      </c>
    </row>
    <row r="83" spans="1:29" x14ac:dyDescent="0.35">
      <c r="N83" s="1"/>
    </row>
    <row r="84" spans="1:29" x14ac:dyDescent="0.35">
      <c r="A84" s="11">
        <v>5</v>
      </c>
      <c r="B84" s="6" t="s">
        <v>25</v>
      </c>
      <c r="C84" s="6"/>
      <c r="D84" s="1"/>
      <c r="E84" s="1"/>
      <c r="F84" s="1"/>
      <c r="G84" s="115" t="s">
        <v>60</v>
      </c>
      <c r="H84" s="115"/>
      <c r="I84" s="115"/>
      <c r="J84" s="115"/>
      <c r="K84" s="115"/>
      <c r="L84" s="115"/>
      <c r="M84" s="47"/>
      <c r="N84" s="1"/>
      <c r="O84" s="114" t="s">
        <v>62</v>
      </c>
      <c r="P84" s="114"/>
      <c r="Q84" s="114"/>
      <c r="R84" s="114"/>
      <c r="S84" s="114"/>
      <c r="T84" s="114"/>
      <c r="U84" s="114"/>
      <c r="V84" s="114"/>
      <c r="W84" s="114"/>
      <c r="X84" s="114"/>
      <c r="Y84" s="114"/>
      <c r="AC84" s="91" t="s">
        <v>216</v>
      </c>
    </row>
    <row r="85" spans="1:29" ht="29.15" customHeight="1" x14ac:dyDescent="0.35">
      <c r="B85" s="56" t="s">
        <v>111</v>
      </c>
      <c r="C85" s="15" t="s">
        <v>15</v>
      </c>
      <c r="D85" s="15" t="s">
        <v>208</v>
      </c>
      <c r="E85" s="32" t="s">
        <v>61</v>
      </c>
      <c r="F85" s="73"/>
      <c r="G85" s="13" t="s">
        <v>1</v>
      </c>
      <c r="H85" s="13" t="s">
        <v>2</v>
      </c>
      <c r="I85" s="14" t="s">
        <v>3</v>
      </c>
      <c r="J85" s="52" t="s">
        <v>20</v>
      </c>
      <c r="K85" s="14" t="s">
        <v>4</v>
      </c>
      <c r="L85" s="14" t="s">
        <v>40</v>
      </c>
      <c r="M85" s="52" t="s">
        <v>102</v>
      </c>
      <c r="N85" s="64"/>
      <c r="O85" s="13" t="s">
        <v>17</v>
      </c>
      <c r="P85" s="13" t="s">
        <v>18</v>
      </c>
      <c r="Q85" s="13" t="s">
        <v>61</v>
      </c>
      <c r="R85" s="13" t="s">
        <v>1</v>
      </c>
      <c r="S85" s="13" t="s">
        <v>2</v>
      </c>
      <c r="T85" s="13" t="s">
        <v>19</v>
      </c>
      <c r="U85" s="13" t="s">
        <v>4</v>
      </c>
      <c r="V85" s="13" t="s">
        <v>41</v>
      </c>
      <c r="W85" s="108" t="s">
        <v>156</v>
      </c>
      <c r="X85" s="108"/>
      <c r="Y85" s="14" t="s">
        <v>35</v>
      </c>
      <c r="AC85" s="14" t="s">
        <v>222</v>
      </c>
    </row>
    <row r="86" spans="1:29" ht="29" x14ac:dyDescent="0.35">
      <c r="A86" s="9"/>
      <c r="B86" s="46" t="s">
        <v>122</v>
      </c>
      <c r="C86" s="7" t="s">
        <v>92</v>
      </c>
      <c r="D86" s="20">
        <v>0.7</v>
      </c>
      <c r="E86" s="38" t="s">
        <v>53</v>
      </c>
      <c r="F86" s="74"/>
      <c r="G86" s="20">
        <f>R86*D86</f>
        <v>3.052</v>
      </c>
      <c r="H86" s="20">
        <f>S86*D86</f>
        <v>3.8149999999999999</v>
      </c>
      <c r="I86" s="20">
        <f>(G86+H86)*(T86-1)</f>
        <v>0.68670000000000064</v>
      </c>
      <c r="J86" s="20">
        <f>SUM(G86:I86)</f>
        <v>7.553700000000001</v>
      </c>
      <c r="K86" s="20">
        <f>U86*D86</f>
        <v>1.1199999999999999</v>
      </c>
      <c r="L86" s="23"/>
      <c r="M86" s="20">
        <f>SUM(J86:L86)</f>
        <v>8.6737000000000002</v>
      </c>
      <c r="N86" s="65"/>
      <c r="O86" s="17" t="s">
        <v>164</v>
      </c>
      <c r="P86" s="17" t="s">
        <v>57</v>
      </c>
      <c r="Q86" s="7" t="s">
        <v>53</v>
      </c>
      <c r="R86" s="19">
        <v>4.3600000000000003</v>
      </c>
      <c r="S86" s="23">
        <v>5.45</v>
      </c>
      <c r="T86" s="25">
        <v>1.1000000000000001</v>
      </c>
      <c r="U86" s="25">
        <f>1.44+0.16</f>
        <v>1.5999999999999999</v>
      </c>
      <c r="V86" s="25"/>
      <c r="W86" s="22">
        <v>1600</v>
      </c>
      <c r="X86" s="22" t="s">
        <v>56</v>
      </c>
      <c r="Y86" s="20"/>
      <c r="AC86" s="90" t="s">
        <v>191</v>
      </c>
    </row>
    <row r="87" spans="1:29" x14ac:dyDescent="0.35">
      <c r="A87" s="9"/>
      <c r="B87" s="45" t="s">
        <v>117</v>
      </c>
      <c r="C87" s="41" t="s">
        <v>118</v>
      </c>
      <c r="D87" s="20">
        <v>1</v>
      </c>
      <c r="E87" s="10" t="s">
        <v>47</v>
      </c>
      <c r="F87" s="59"/>
      <c r="G87" s="20">
        <f>R87*D87</f>
        <v>0.75</v>
      </c>
      <c r="H87" s="20">
        <f>S87*D87</f>
        <v>0.02</v>
      </c>
      <c r="I87" s="20">
        <f>(G87+H87)*(T87-1)</f>
        <v>0.15399999999999997</v>
      </c>
      <c r="J87" s="20">
        <f t="shared" ref="J87" si="10">SUM(G87:I87)</f>
        <v>0.92399999999999993</v>
      </c>
      <c r="K87" s="23"/>
      <c r="L87" s="23"/>
      <c r="M87" s="20">
        <f t="shared" ref="M87" si="11">SUM(J87:L87)</f>
        <v>0.92399999999999993</v>
      </c>
      <c r="N87" s="66"/>
      <c r="O87" s="17" t="s">
        <v>164</v>
      </c>
      <c r="P87" s="17" t="s">
        <v>52</v>
      </c>
      <c r="Q87" s="20" t="s">
        <v>47</v>
      </c>
      <c r="R87" s="18">
        <v>0.75</v>
      </c>
      <c r="S87" s="23">
        <v>0.02</v>
      </c>
      <c r="T87" s="25">
        <v>1.2</v>
      </c>
      <c r="U87" s="23"/>
      <c r="V87" s="23"/>
      <c r="W87" s="24">
        <v>0.24299999999999999</v>
      </c>
      <c r="X87" s="20" t="s">
        <v>63</v>
      </c>
      <c r="Y87" s="20"/>
      <c r="AC87" s="7" t="s">
        <v>189</v>
      </c>
    </row>
    <row r="88" spans="1:29" x14ac:dyDescent="0.35">
      <c r="A88" s="9"/>
      <c r="B88" s="45" t="s">
        <v>114</v>
      </c>
      <c r="C88" s="37" t="s">
        <v>115</v>
      </c>
      <c r="D88" s="20">
        <v>1</v>
      </c>
      <c r="E88" s="10" t="s">
        <v>53</v>
      </c>
      <c r="F88" s="59"/>
      <c r="G88" s="27"/>
      <c r="H88" s="27"/>
      <c r="I88" s="20"/>
      <c r="J88" s="20"/>
      <c r="K88" s="20">
        <f>U88*D88</f>
        <v>1.44</v>
      </c>
      <c r="L88" s="20">
        <f>V88*D88</f>
        <v>5.45</v>
      </c>
      <c r="M88" s="20">
        <f>SUM(J88:L88)</f>
        <v>6.8900000000000006</v>
      </c>
      <c r="N88" s="66"/>
      <c r="O88" s="17" t="s">
        <v>164</v>
      </c>
      <c r="P88" s="17" t="s">
        <v>59</v>
      </c>
      <c r="Q88" s="20" t="s">
        <v>53</v>
      </c>
      <c r="R88" s="16"/>
      <c r="S88" s="23"/>
      <c r="T88" s="17"/>
      <c r="U88" s="23">
        <v>1.44</v>
      </c>
      <c r="V88" s="23">
        <v>5.45</v>
      </c>
      <c r="W88" s="20"/>
      <c r="X88" s="20"/>
      <c r="Y88" s="20"/>
      <c r="AC88" s="7" t="s">
        <v>187</v>
      </c>
    </row>
    <row r="89" spans="1:29" x14ac:dyDescent="0.35">
      <c r="G89" s="39">
        <f t="shared" ref="G89:L89" si="12">SUM(G86:G88)</f>
        <v>3.802</v>
      </c>
      <c r="H89" s="39">
        <f t="shared" si="12"/>
        <v>3.835</v>
      </c>
      <c r="I89" s="39">
        <f t="shared" si="12"/>
        <v>0.84070000000000067</v>
      </c>
      <c r="J89" s="51">
        <f t="shared" si="12"/>
        <v>8.4777000000000005</v>
      </c>
      <c r="K89" s="39">
        <f t="shared" si="12"/>
        <v>2.5599999999999996</v>
      </c>
      <c r="L89" s="39">
        <f t="shared" si="12"/>
        <v>5.45</v>
      </c>
      <c r="M89" s="50">
        <f>SUM(M86:M88)</f>
        <v>16.4877</v>
      </c>
    </row>
    <row r="91" spans="1:29" x14ac:dyDescent="0.35">
      <c r="A91" s="11">
        <v>6</v>
      </c>
      <c r="B91" s="6" t="s">
        <v>7</v>
      </c>
      <c r="C91" s="6"/>
      <c r="D91" s="1"/>
      <c r="E91" s="1"/>
      <c r="F91" s="1"/>
      <c r="G91" s="125" t="s">
        <v>66</v>
      </c>
      <c r="H91" s="125"/>
      <c r="I91" s="125"/>
      <c r="J91" s="125"/>
      <c r="K91" s="125"/>
      <c r="L91" s="125"/>
      <c r="M91" s="49"/>
      <c r="N91" s="1"/>
      <c r="O91" s="114" t="s">
        <v>62</v>
      </c>
      <c r="P91" s="114"/>
      <c r="Q91" s="114"/>
      <c r="R91" s="114"/>
      <c r="S91" s="114"/>
      <c r="T91" s="114"/>
      <c r="U91" s="114"/>
      <c r="V91" s="114"/>
      <c r="W91" s="114"/>
      <c r="X91" s="114"/>
      <c r="Y91" s="114"/>
      <c r="AC91" s="91" t="s">
        <v>217</v>
      </c>
    </row>
    <row r="92" spans="1:29" ht="29.15" customHeight="1" x14ac:dyDescent="0.35">
      <c r="B92" s="56" t="s">
        <v>111</v>
      </c>
      <c r="C92" s="15" t="s">
        <v>15</v>
      </c>
      <c r="D92" s="15" t="s">
        <v>75</v>
      </c>
      <c r="E92" s="15" t="s">
        <v>61</v>
      </c>
      <c r="F92" s="33"/>
      <c r="G92" s="13" t="s">
        <v>1</v>
      </c>
      <c r="H92" s="13" t="s">
        <v>2</v>
      </c>
      <c r="I92" s="14" t="s">
        <v>3</v>
      </c>
      <c r="J92" s="55" t="s">
        <v>20</v>
      </c>
      <c r="K92" s="14" t="s">
        <v>4</v>
      </c>
      <c r="L92" s="14" t="s">
        <v>40</v>
      </c>
      <c r="M92" s="55" t="s">
        <v>102</v>
      </c>
      <c r="N92" s="33"/>
      <c r="O92" s="13" t="s">
        <v>17</v>
      </c>
      <c r="P92" s="13" t="s">
        <v>18</v>
      </c>
      <c r="Q92" s="13" t="s">
        <v>61</v>
      </c>
      <c r="R92" s="13" t="s">
        <v>1</v>
      </c>
      <c r="S92" s="13" t="s">
        <v>2</v>
      </c>
      <c r="T92" s="13" t="s">
        <v>19</v>
      </c>
      <c r="U92" s="13" t="s">
        <v>4</v>
      </c>
      <c r="V92" s="13" t="s">
        <v>41</v>
      </c>
      <c r="W92" s="108" t="s">
        <v>156</v>
      </c>
      <c r="X92" s="108"/>
      <c r="Y92" s="14" t="s">
        <v>35</v>
      </c>
      <c r="AC92" s="14" t="s">
        <v>222</v>
      </c>
    </row>
    <row r="93" spans="1:29" x14ac:dyDescent="0.35">
      <c r="A93" s="9"/>
      <c r="B93" s="116" t="s">
        <v>12</v>
      </c>
      <c r="C93" s="45" t="s">
        <v>67</v>
      </c>
      <c r="D93" s="20">
        <v>0.5</v>
      </c>
      <c r="E93" s="20" t="s">
        <v>48</v>
      </c>
      <c r="F93" s="29"/>
      <c r="G93" s="27">
        <f>R93*D93</f>
        <v>14.335000000000001</v>
      </c>
      <c r="H93" s="20">
        <f>S93*D93</f>
        <v>0.78500000000000003</v>
      </c>
      <c r="I93" s="20">
        <f t="shared" ref="I93:I100" si="13">(G93+H93)*(T93-1)</f>
        <v>0.60480000000000056</v>
      </c>
      <c r="J93" s="27">
        <f t="shared" ref="J93:J99" si="14">SUM(G93:I93)</f>
        <v>15.724800000000002</v>
      </c>
      <c r="K93" s="20">
        <f>U93*D93</f>
        <v>0.36</v>
      </c>
      <c r="L93" s="27"/>
      <c r="M93" s="27">
        <f t="shared" ref="M93:M99" si="15">SUM(J93:L93)</f>
        <v>16.084800000000001</v>
      </c>
      <c r="N93" s="29"/>
      <c r="O93" s="17" t="s">
        <v>164</v>
      </c>
      <c r="P93" s="20" t="s">
        <v>67</v>
      </c>
      <c r="Q93" s="20" t="s">
        <v>48</v>
      </c>
      <c r="R93" s="20">
        <v>28.67</v>
      </c>
      <c r="S93" s="23">
        <v>1.57</v>
      </c>
      <c r="T93" s="25">
        <v>1.04</v>
      </c>
      <c r="U93" s="23">
        <v>0.72</v>
      </c>
      <c r="V93" s="20"/>
      <c r="W93" s="20">
        <v>138.30000000000001</v>
      </c>
      <c r="X93" s="20" t="s">
        <v>70</v>
      </c>
      <c r="Y93" s="20"/>
      <c r="AC93" s="100" t="s">
        <v>192</v>
      </c>
    </row>
    <row r="94" spans="1:29" x14ac:dyDescent="0.35">
      <c r="A94" s="9"/>
      <c r="B94" s="116"/>
      <c r="C94" s="75" t="s">
        <v>174</v>
      </c>
      <c r="D94" s="76">
        <v>0</v>
      </c>
      <c r="E94" s="76" t="s">
        <v>48</v>
      </c>
      <c r="F94" s="29"/>
      <c r="G94" s="78">
        <f>R94*D94</f>
        <v>0</v>
      </c>
      <c r="H94" s="78">
        <f>S94*D94</f>
        <v>0</v>
      </c>
      <c r="I94" s="78">
        <f t="shared" si="13"/>
        <v>0</v>
      </c>
      <c r="J94" s="78">
        <f t="shared" si="14"/>
        <v>0</v>
      </c>
      <c r="K94" s="78">
        <f>U94*D94</f>
        <v>0</v>
      </c>
      <c r="L94" s="78"/>
      <c r="M94" s="78">
        <f t="shared" si="15"/>
        <v>0</v>
      </c>
      <c r="N94" s="29"/>
      <c r="O94" s="80" t="s">
        <v>164</v>
      </c>
      <c r="P94" s="80" t="s">
        <v>174</v>
      </c>
      <c r="Q94" s="76" t="s">
        <v>48</v>
      </c>
      <c r="R94" s="76">
        <v>35.6</v>
      </c>
      <c r="S94" s="76">
        <v>2.0699999999999998</v>
      </c>
      <c r="T94" s="83">
        <v>1.04</v>
      </c>
      <c r="U94" s="82">
        <v>0.72</v>
      </c>
      <c r="V94" s="82"/>
      <c r="W94" s="76">
        <v>182.5</v>
      </c>
      <c r="X94" s="82" t="s">
        <v>70</v>
      </c>
      <c r="Y94" s="76"/>
      <c r="AC94" s="100"/>
    </row>
    <row r="95" spans="1:29" x14ac:dyDescent="0.35">
      <c r="A95" s="9"/>
      <c r="B95" s="116"/>
      <c r="C95" s="75" t="s">
        <v>175</v>
      </c>
      <c r="D95" s="76">
        <v>0</v>
      </c>
      <c r="E95" s="76" t="s">
        <v>48</v>
      </c>
      <c r="F95" s="29"/>
      <c r="G95" s="78">
        <f>R95*D95</f>
        <v>0</v>
      </c>
      <c r="H95" s="78">
        <f>S95*D95</f>
        <v>0</v>
      </c>
      <c r="I95" s="78">
        <f t="shared" si="13"/>
        <v>0</v>
      </c>
      <c r="J95" s="78">
        <f t="shared" si="14"/>
        <v>0</v>
      </c>
      <c r="K95" s="78">
        <f>U95*D95</f>
        <v>0</v>
      </c>
      <c r="L95" s="78"/>
      <c r="M95" s="78">
        <f t="shared" si="15"/>
        <v>0</v>
      </c>
      <c r="N95" s="29"/>
      <c r="O95" s="80" t="s">
        <v>164</v>
      </c>
      <c r="P95" s="76" t="s">
        <v>175</v>
      </c>
      <c r="Q95" s="76" t="s">
        <v>48</v>
      </c>
      <c r="R95" s="84">
        <v>2E-3</v>
      </c>
      <c r="S95" s="82">
        <v>0.27</v>
      </c>
      <c r="T95" s="82">
        <v>1.1000000000000001</v>
      </c>
      <c r="U95" s="82">
        <v>0.53</v>
      </c>
      <c r="V95" s="76"/>
      <c r="W95" s="82">
        <v>0.03</v>
      </c>
      <c r="X95" s="76" t="s">
        <v>177</v>
      </c>
      <c r="Y95" s="76"/>
      <c r="AC95" s="100"/>
    </row>
    <row r="96" spans="1:29" ht="29" x14ac:dyDescent="0.35">
      <c r="A96" s="9"/>
      <c r="B96" s="116"/>
      <c r="C96" s="75" t="s">
        <v>176</v>
      </c>
      <c r="D96" s="76">
        <v>0</v>
      </c>
      <c r="E96" s="76" t="s">
        <v>48</v>
      </c>
      <c r="F96" s="29"/>
      <c r="G96" s="78">
        <f>R96*D96</f>
        <v>0</v>
      </c>
      <c r="H96" s="78">
        <f>S96*D96</f>
        <v>0</v>
      </c>
      <c r="I96" s="78">
        <f t="shared" si="13"/>
        <v>0</v>
      </c>
      <c r="J96" s="78">
        <f t="shared" si="14"/>
        <v>0</v>
      </c>
      <c r="K96" s="78">
        <f>U96*D96</f>
        <v>0</v>
      </c>
      <c r="L96" s="78"/>
      <c r="M96" s="78">
        <f t="shared" si="15"/>
        <v>0</v>
      </c>
      <c r="N96" s="29"/>
      <c r="O96" s="80" t="s">
        <v>164</v>
      </c>
      <c r="P96" s="76" t="s">
        <v>176</v>
      </c>
      <c r="Q96" s="76" t="s">
        <v>48</v>
      </c>
      <c r="R96" s="76">
        <v>90.32</v>
      </c>
      <c r="S96" s="82">
        <v>1.34</v>
      </c>
      <c r="T96" s="82">
        <v>1.03</v>
      </c>
      <c r="U96" s="82">
        <v>6.25</v>
      </c>
      <c r="V96" s="76"/>
      <c r="W96" s="82"/>
      <c r="X96" s="76"/>
      <c r="Y96" s="76"/>
      <c r="AC96" s="100"/>
    </row>
    <row r="97" spans="1:29" ht="43.5" x14ac:dyDescent="0.35">
      <c r="A97" s="9"/>
      <c r="B97" s="100"/>
      <c r="C97" s="7" t="s">
        <v>95</v>
      </c>
      <c r="D97" s="20">
        <v>0.3</v>
      </c>
      <c r="E97" s="20" t="s">
        <v>45</v>
      </c>
      <c r="F97" s="29"/>
      <c r="G97" s="20">
        <f>D97*R97</f>
        <v>0.75600000000000001</v>
      </c>
      <c r="H97" s="23">
        <f>D97*S97</f>
        <v>2.385E-2</v>
      </c>
      <c r="I97" s="23">
        <f t="shared" si="13"/>
        <v>3.8992500000000034E-2</v>
      </c>
      <c r="J97" s="20">
        <f t="shared" si="14"/>
        <v>0.81884250000000003</v>
      </c>
      <c r="K97" s="23"/>
      <c r="L97" s="27"/>
      <c r="M97" s="20">
        <f t="shared" si="15"/>
        <v>0.81884250000000003</v>
      </c>
      <c r="N97" s="29"/>
      <c r="O97" s="17" t="s">
        <v>32</v>
      </c>
      <c r="P97" s="20" t="s">
        <v>65</v>
      </c>
      <c r="Q97" s="20" t="s">
        <v>45</v>
      </c>
      <c r="R97" s="23">
        <v>2.52</v>
      </c>
      <c r="S97" s="26">
        <v>7.9500000000000001E-2</v>
      </c>
      <c r="T97" s="23">
        <v>1.05</v>
      </c>
      <c r="U97" s="20"/>
      <c r="V97" s="20"/>
      <c r="W97" s="20"/>
      <c r="X97" s="20"/>
      <c r="Y97" s="20"/>
      <c r="AC97" s="100"/>
    </row>
    <row r="98" spans="1:29" x14ac:dyDescent="0.35">
      <c r="A98" s="9"/>
      <c r="B98" s="100"/>
      <c r="C98" s="7" t="s">
        <v>96</v>
      </c>
      <c r="D98" s="24">
        <v>3.0000000000000001E-3</v>
      </c>
      <c r="E98" s="20" t="s">
        <v>53</v>
      </c>
      <c r="F98" s="29"/>
      <c r="G98" s="20">
        <f>D98*R98</f>
        <v>5.9279999999999999</v>
      </c>
      <c r="H98" s="20">
        <f>D98*S98</f>
        <v>0.31464000000000003</v>
      </c>
      <c r="I98" s="20">
        <f t="shared" si="13"/>
        <v>0.18727920000000015</v>
      </c>
      <c r="J98" s="20">
        <f t="shared" si="14"/>
        <v>6.4299191999999996</v>
      </c>
      <c r="K98" s="20"/>
      <c r="L98" s="27"/>
      <c r="M98" s="20">
        <f t="shared" si="15"/>
        <v>6.4299191999999996</v>
      </c>
      <c r="N98" s="29"/>
      <c r="O98" s="17" t="s">
        <v>32</v>
      </c>
      <c r="P98" s="17" t="s">
        <v>97</v>
      </c>
      <c r="Q98" s="17" t="s">
        <v>53</v>
      </c>
      <c r="R98" s="16">
        <f>0.65*W98</f>
        <v>1976</v>
      </c>
      <c r="S98" s="27">
        <f>0.0345*W98</f>
        <v>104.88000000000001</v>
      </c>
      <c r="T98" s="23">
        <v>1.03</v>
      </c>
      <c r="U98" s="23"/>
      <c r="V98" s="23"/>
      <c r="W98" s="27">
        <v>3040</v>
      </c>
      <c r="X98" s="20" t="s">
        <v>56</v>
      </c>
      <c r="Y98" s="20"/>
      <c r="AC98" s="100"/>
    </row>
    <row r="99" spans="1:29" ht="29" x14ac:dyDescent="0.35">
      <c r="A99" s="9"/>
      <c r="B99" s="46" t="s">
        <v>122</v>
      </c>
      <c r="C99" s="7" t="s">
        <v>92</v>
      </c>
      <c r="D99" s="20">
        <v>0.1</v>
      </c>
      <c r="E99" s="7" t="s">
        <v>53</v>
      </c>
      <c r="F99" s="29"/>
      <c r="G99" s="20">
        <f>R99*D99</f>
        <v>0.43600000000000005</v>
      </c>
      <c r="H99" s="20">
        <f>S99*D99</f>
        <v>0.54500000000000004</v>
      </c>
      <c r="I99" s="20">
        <f t="shared" si="13"/>
        <v>9.810000000000009E-2</v>
      </c>
      <c r="J99" s="20">
        <f t="shared" si="14"/>
        <v>1.0791000000000002</v>
      </c>
      <c r="K99" s="20">
        <f>U99*D99</f>
        <v>0.16</v>
      </c>
      <c r="L99" s="23"/>
      <c r="M99" s="20">
        <f t="shared" si="15"/>
        <v>1.2391000000000001</v>
      </c>
      <c r="N99" s="29"/>
      <c r="O99" s="17" t="s">
        <v>164</v>
      </c>
      <c r="P99" s="17" t="s">
        <v>57</v>
      </c>
      <c r="Q99" s="17" t="s">
        <v>53</v>
      </c>
      <c r="R99" s="19">
        <v>4.3600000000000003</v>
      </c>
      <c r="S99" s="23">
        <v>5.45</v>
      </c>
      <c r="T99" s="25">
        <v>1.1000000000000001</v>
      </c>
      <c r="U99" s="25">
        <f>1.44+0.16</f>
        <v>1.5999999999999999</v>
      </c>
      <c r="V99" s="25"/>
      <c r="W99" s="7">
        <v>1600</v>
      </c>
      <c r="X99" s="22" t="s">
        <v>56</v>
      </c>
      <c r="Y99" s="20"/>
      <c r="AC99" s="90" t="s">
        <v>191</v>
      </c>
    </row>
    <row r="100" spans="1:29" x14ac:dyDescent="0.35">
      <c r="A100" s="9"/>
      <c r="B100" s="45" t="s">
        <v>117</v>
      </c>
      <c r="C100" s="37" t="s">
        <v>118</v>
      </c>
      <c r="D100" s="20">
        <v>0.3</v>
      </c>
      <c r="E100" s="20" t="s">
        <v>47</v>
      </c>
      <c r="F100" s="29"/>
      <c r="G100" s="20">
        <f>R100*D100</f>
        <v>0.22499999999999998</v>
      </c>
      <c r="H100" s="20">
        <f>S100*D100</f>
        <v>6.0000000000000001E-3</v>
      </c>
      <c r="I100" s="20">
        <f t="shared" si="13"/>
        <v>4.6199999999999984E-2</v>
      </c>
      <c r="J100" s="20">
        <f t="shared" ref="J100" si="16">SUM(G100:I100)</f>
        <v>0.27719999999999995</v>
      </c>
      <c r="K100" s="23"/>
      <c r="L100" s="23"/>
      <c r="M100" s="20">
        <f t="shared" ref="M100:M101" si="17">SUM(J100:L100)</f>
        <v>0.27719999999999995</v>
      </c>
      <c r="N100" s="29"/>
      <c r="O100" s="17" t="s">
        <v>164</v>
      </c>
      <c r="P100" s="17" t="s">
        <v>52</v>
      </c>
      <c r="Q100" s="17" t="s">
        <v>47</v>
      </c>
      <c r="R100" s="18">
        <v>0.75</v>
      </c>
      <c r="S100" s="23">
        <v>0.02</v>
      </c>
      <c r="T100" s="25">
        <v>1.2</v>
      </c>
      <c r="U100" s="23"/>
      <c r="V100" s="23"/>
      <c r="W100" s="24">
        <v>0.24299999999999999</v>
      </c>
      <c r="X100" s="20" t="s">
        <v>63</v>
      </c>
      <c r="Y100" s="20"/>
      <c r="AC100" s="7" t="s">
        <v>189</v>
      </c>
    </row>
    <row r="101" spans="1:29" x14ac:dyDescent="0.35">
      <c r="A101" s="9"/>
      <c r="B101" s="45" t="s">
        <v>114</v>
      </c>
      <c r="C101" s="37" t="s">
        <v>115</v>
      </c>
      <c r="D101" s="20">
        <v>0.1</v>
      </c>
      <c r="E101" s="20" t="s">
        <v>53</v>
      </c>
      <c r="F101" s="29"/>
      <c r="G101" s="27"/>
      <c r="H101" s="27"/>
      <c r="I101" s="20"/>
      <c r="J101" s="20"/>
      <c r="K101" s="20">
        <f>U101*D101</f>
        <v>0.14399999999999999</v>
      </c>
      <c r="L101" s="20">
        <f>V101*D101</f>
        <v>0.54500000000000004</v>
      </c>
      <c r="M101" s="20">
        <f t="shared" si="17"/>
        <v>0.68900000000000006</v>
      </c>
      <c r="N101" s="29"/>
      <c r="O101" s="17" t="s">
        <v>164</v>
      </c>
      <c r="P101" s="17" t="s">
        <v>59</v>
      </c>
      <c r="Q101" s="17" t="s">
        <v>53</v>
      </c>
      <c r="R101" s="16"/>
      <c r="S101" s="23"/>
      <c r="T101" s="17"/>
      <c r="U101" s="23">
        <v>1.44</v>
      </c>
      <c r="V101" s="23">
        <v>5.45</v>
      </c>
      <c r="W101" s="20"/>
      <c r="X101" s="20"/>
      <c r="Y101" s="20"/>
      <c r="AC101" s="7" t="s">
        <v>187</v>
      </c>
    </row>
    <row r="102" spans="1:29" x14ac:dyDescent="0.35">
      <c r="A102" s="9"/>
      <c r="B102" s="1"/>
      <c r="C102" s="1"/>
      <c r="D102" s="1"/>
      <c r="E102" s="1"/>
      <c r="F102" s="1"/>
      <c r="G102" s="40">
        <f t="shared" ref="G102:L102" si="18">SUM(G93:G101)</f>
        <v>21.680000000000003</v>
      </c>
      <c r="H102" s="39">
        <f t="shared" si="18"/>
        <v>1.6744900000000003</v>
      </c>
      <c r="I102" s="39">
        <f t="shared" si="18"/>
        <v>0.97537170000000084</v>
      </c>
      <c r="J102" s="85">
        <f t="shared" si="18"/>
        <v>24.329861700000002</v>
      </c>
      <c r="K102" s="39">
        <f t="shared" si="18"/>
        <v>0.66400000000000003</v>
      </c>
      <c r="L102" s="39">
        <f t="shared" si="18"/>
        <v>0.54500000000000004</v>
      </c>
      <c r="M102" s="85">
        <f>SUM(M93:M101)</f>
        <v>25.538861700000002</v>
      </c>
      <c r="N102" s="1"/>
      <c r="O102" s="1"/>
      <c r="P102" s="1"/>
      <c r="Q102" s="1"/>
      <c r="R102" s="1"/>
    </row>
    <row r="104" spans="1:29" x14ac:dyDescent="0.35">
      <c r="A104" s="11">
        <v>7</v>
      </c>
      <c r="B104" s="6" t="s">
        <v>8</v>
      </c>
      <c r="C104" s="6"/>
      <c r="D104" s="1"/>
      <c r="E104" s="1"/>
      <c r="F104" s="1"/>
      <c r="G104" s="115" t="s">
        <v>60</v>
      </c>
      <c r="H104" s="115"/>
      <c r="I104" s="115"/>
      <c r="J104" s="115"/>
      <c r="K104" s="115"/>
      <c r="L104" s="115"/>
      <c r="M104" s="47"/>
      <c r="N104" s="1"/>
      <c r="O104" s="114" t="s">
        <v>62</v>
      </c>
      <c r="P104" s="114"/>
      <c r="Q104" s="114"/>
      <c r="R104" s="114"/>
      <c r="S104" s="114"/>
      <c r="T104" s="114"/>
      <c r="U104" s="114"/>
      <c r="V104" s="114"/>
      <c r="W104" s="114"/>
      <c r="X104" s="114"/>
      <c r="Y104" s="114"/>
      <c r="AC104" s="91" t="s">
        <v>218</v>
      </c>
    </row>
    <row r="105" spans="1:29" ht="29" x14ac:dyDescent="0.35">
      <c r="B105" s="56" t="s">
        <v>111</v>
      </c>
      <c r="C105" s="15" t="s">
        <v>15</v>
      </c>
      <c r="D105" s="15" t="s">
        <v>208</v>
      </c>
      <c r="E105" s="32" t="s">
        <v>61</v>
      </c>
      <c r="F105" s="73"/>
      <c r="G105" s="13" t="s">
        <v>1</v>
      </c>
      <c r="H105" s="13" t="s">
        <v>2</v>
      </c>
      <c r="I105" s="14" t="s">
        <v>3</v>
      </c>
      <c r="J105" s="52" t="s">
        <v>20</v>
      </c>
      <c r="K105" s="14" t="s">
        <v>4</v>
      </c>
      <c r="L105" s="14" t="s">
        <v>40</v>
      </c>
      <c r="M105" s="52" t="s">
        <v>102</v>
      </c>
      <c r="N105" s="64"/>
      <c r="O105" s="13" t="s">
        <v>17</v>
      </c>
      <c r="P105" s="13" t="s">
        <v>18</v>
      </c>
      <c r="Q105" s="13" t="s">
        <v>61</v>
      </c>
      <c r="R105" s="13" t="s">
        <v>1</v>
      </c>
      <c r="S105" s="13" t="s">
        <v>2</v>
      </c>
      <c r="T105" s="13" t="s">
        <v>19</v>
      </c>
      <c r="U105" s="13" t="s">
        <v>4</v>
      </c>
      <c r="V105" s="13" t="s">
        <v>41</v>
      </c>
      <c r="W105" s="108" t="s">
        <v>156</v>
      </c>
      <c r="X105" s="108"/>
      <c r="Y105" s="14" t="s">
        <v>35</v>
      </c>
      <c r="AC105" s="14" t="s">
        <v>222</v>
      </c>
    </row>
    <row r="106" spans="1:29" ht="29" x14ac:dyDescent="0.35">
      <c r="A106" s="9"/>
      <c r="B106" s="112" t="s">
        <v>123</v>
      </c>
      <c r="C106" s="12" t="s">
        <v>124</v>
      </c>
      <c r="D106" s="20">
        <v>0.1</v>
      </c>
      <c r="E106" s="10" t="s">
        <v>68</v>
      </c>
      <c r="F106" s="59"/>
      <c r="G106" s="20">
        <f>R106*D106</f>
        <v>0.64800000000000013</v>
      </c>
      <c r="H106" s="23">
        <f t="shared" ref="H106:H112" si="19">S106*D106</f>
        <v>1.7000000000000001E-2</v>
      </c>
      <c r="I106" s="23">
        <f t="shared" ref="I106:I112" si="20">(G106+H106)*(T106-1)</f>
        <v>1.9950000000000023E-2</v>
      </c>
      <c r="J106" s="20">
        <f t="shared" ref="J106:J112" si="21">SUM(G106:I106)</f>
        <v>0.68495000000000017</v>
      </c>
      <c r="K106" s="23"/>
      <c r="L106" s="27"/>
      <c r="M106" s="20">
        <f t="shared" ref="M106:M114" si="22">SUM(J106:L106)</f>
        <v>0.68495000000000017</v>
      </c>
      <c r="N106" s="66"/>
      <c r="O106" s="20" t="s">
        <v>55</v>
      </c>
      <c r="P106" s="20" t="s">
        <v>69</v>
      </c>
      <c r="Q106" s="20" t="s">
        <v>48</v>
      </c>
      <c r="R106" s="23">
        <v>6.48</v>
      </c>
      <c r="S106" s="23">
        <v>0.17</v>
      </c>
      <c r="T106" s="25">
        <v>1.03</v>
      </c>
      <c r="U106" s="20"/>
      <c r="V106" s="20"/>
      <c r="W106" s="20">
        <v>3.6</v>
      </c>
      <c r="X106" s="20" t="s">
        <v>70</v>
      </c>
      <c r="Y106" s="20"/>
      <c r="AC106" s="112" t="s">
        <v>193</v>
      </c>
    </row>
    <row r="107" spans="1:29" ht="29" x14ac:dyDescent="0.35">
      <c r="A107" s="9"/>
      <c r="B107" s="113"/>
      <c r="C107" s="44" t="s">
        <v>234</v>
      </c>
      <c r="D107" s="20">
        <v>0.1</v>
      </c>
      <c r="E107" s="10" t="s">
        <v>48</v>
      </c>
      <c r="F107" s="59"/>
      <c r="G107" s="20">
        <f>R107*D107</f>
        <v>0.754</v>
      </c>
      <c r="H107" s="23">
        <f t="shared" si="19"/>
        <v>1.6105263157894737E-2</v>
      </c>
      <c r="I107" s="20">
        <f t="shared" si="20"/>
        <v>2.3103157894736864E-2</v>
      </c>
      <c r="J107" s="20">
        <f t="shared" si="21"/>
        <v>0.79320842105263156</v>
      </c>
      <c r="K107" s="27"/>
      <c r="L107" s="23"/>
      <c r="M107" s="20">
        <f t="shared" si="22"/>
        <v>0.79320842105263156</v>
      </c>
      <c r="N107" s="66"/>
      <c r="O107" s="94" t="s">
        <v>79</v>
      </c>
      <c r="P107" s="95" t="s">
        <v>226</v>
      </c>
      <c r="Q107" s="20" t="s">
        <v>48</v>
      </c>
      <c r="R107" s="23">
        <v>7.54</v>
      </c>
      <c r="S107" s="22">
        <f>S108/W108*W107</f>
        <v>0.16105263157894736</v>
      </c>
      <c r="T107" s="23">
        <v>1.03</v>
      </c>
      <c r="U107" s="20"/>
      <c r="V107" s="20"/>
      <c r="W107" s="20">
        <v>3.4</v>
      </c>
      <c r="X107" s="20" t="s">
        <v>70</v>
      </c>
      <c r="Y107" s="20"/>
      <c r="AC107" s="113"/>
    </row>
    <row r="108" spans="1:29" ht="29" x14ac:dyDescent="0.35">
      <c r="A108" s="9"/>
      <c r="B108" s="113"/>
      <c r="C108" s="98" t="s">
        <v>225</v>
      </c>
      <c r="D108" s="76">
        <v>0</v>
      </c>
      <c r="E108" s="96" t="s">
        <v>48</v>
      </c>
      <c r="F108" s="59"/>
      <c r="G108" s="76">
        <f>R108*D108</f>
        <v>0</v>
      </c>
      <c r="H108" s="82">
        <f t="shared" ref="H108" si="23">S108*D108</f>
        <v>0</v>
      </c>
      <c r="I108" s="76">
        <f t="shared" ref="I108" si="24">(G108+H108)*(T108-1)</f>
        <v>0</v>
      </c>
      <c r="J108" s="76">
        <f t="shared" ref="J108" si="25">SUM(G108:I108)</f>
        <v>0</v>
      </c>
      <c r="K108" s="78"/>
      <c r="L108" s="82"/>
      <c r="M108" s="76">
        <f t="shared" ref="M108" si="26">SUM(J108:L108)</f>
        <v>0</v>
      </c>
      <c r="N108" s="66"/>
      <c r="O108" s="76" t="s">
        <v>55</v>
      </c>
      <c r="P108" s="76" t="s">
        <v>71</v>
      </c>
      <c r="Q108" s="76" t="s">
        <v>48</v>
      </c>
      <c r="R108" s="76">
        <v>34.200000000000003</v>
      </c>
      <c r="S108" s="76">
        <v>0.9</v>
      </c>
      <c r="T108" s="83">
        <v>1.03</v>
      </c>
      <c r="U108" s="76"/>
      <c r="V108" s="76"/>
      <c r="W108" s="76">
        <v>19</v>
      </c>
      <c r="X108" s="76" t="s">
        <v>70</v>
      </c>
      <c r="Y108" s="76"/>
      <c r="AC108" s="113"/>
    </row>
    <row r="109" spans="1:29" ht="29" x14ac:dyDescent="0.35">
      <c r="A109" s="9"/>
      <c r="B109" s="113"/>
      <c r="C109" s="12" t="s">
        <v>125</v>
      </c>
      <c r="D109" s="20">
        <v>0.1</v>
      </c>
      <c r="E109" s="10" t="s">
        <v>48</v>
      </c>
      <c r="F109" s="59"/>
      <c r="G109" s="20">
        <f>D109*R109</f>
        <v>0.21200000000000002</v>
      </c>
      <c r="H109" s="24">
        <f t="shared" si="19"/>
        <v>4.1684210526315791E-3</v>
      </c>
      <c r="I109" s="23">
        <f t="shared" si="20"/>
        <v>6.4850526315789539E-3</v>
      </c>
      <c r="J109" s="20">
        <f t="shared" si="21"/>
        <v>0.22265347368421054</v>
      </c>
      <c r="K109" s="27"/>
      <c r="L109" s="23"/>
      <c r="M109" s="20">
        <f t="shared" si="22"/>
        <v>0.22265347368421054</v>
      </c>
      <c r="N109" s="66"/>
      <c r="O109" s="20" t="s">
        <v>79</v>
      </c>
      <c r="P109" s="20" t="s">
        <v>88</v>
      </c>
      <c r="Q109" s="20" t="s">
        <v>48</v>
      </c>
      <c r="R109" s="23">
        <v>2.12</v>
      </c>
      <c r="S109" s="25">
        <f>S108/W108*W109</f>
        <v>4.1684210526315789E-2</v>
      </c>
      <c r="T109" s="25">
        <v>1.03</v>
      </c>
      <c r="U109" s="20"/>
      <c r="V109" s="20"/>
      <c r="W109" s="23">
        <v>0.88</v>
      </c>
      <c r="X109" s="20" t="s">
        <v>70</v>
      </c>
      <c r="Y109" s="20"/>
      <c r="AC109" s="113"/>
    </row>
    <row r="110" spans="1:29" ht="29" x14ac:dyDescent="0.35">
      <c r="A110" s="9"/>
      <c r="B110" s="12" t="s">
        <v>126</v>
      </c>
      <c r="C110" s="7" t="s">
        <v>92</v>
      </c>
      <c r="D110" s="20">
        <v>0.1</v>
      </c>
      <c r="E110" s="38" t="s">
        <v>53</v>
      </c>
      <c r="F110" s="74"/>
      <c r="G110" s="20">
        <f>R110*D110</f>
        <v>0.43600000000000005</v>
      </c>
      <c r="H110" s="20">
        <f t="shared" si="19"/>
        <v>0.54500000000000004</v>
      </c>
      <c r="I110" s="20">
        <f t="shared" si="20"/>
        <v>9.810000000000009E-2</v>
      </c>
      <c r="J110" s="20">
        <f t="shared" si="21"/>
        <v>1.0791000000000002</v>
      </c>
      <c r="K110" s="20">
        <f>U110*D110</f>
        <v>0.16</v>
      </c>
      <c r="L110" s="23"/>
      <c r="M110" s="20">
        <f t="shared" si="22"/>
        <v>1.2391000000000001</v>
      </c>
      <c r="N110" s="65"/>
      <c r="O110" s="17" t="s">
        <v>164</v>
      </c>
      <c r="P110" s="17" t="s">
        <v>57</v>
      </c>
      <c r="Q110" s="7" t="s">
        <v>53</v>
      </c>
      <c r="R110" s="19">
        <v>4.3600000000000003</v>
      </c>
      <c r="S110" s="23">
        <v>5.45</v>
      </c>
      <c r="T110" s="25">
        <v>1.1000000000000001</v>
      </c>
      <c r="U110" s="25">
        <f>1.44+0.16</f>
        <v>1.5999999999999999</v>
      </c>
      <c r="V110" s="25"/>
      <c r="W110" s="22">
        <v>1600</v>
      </c>
      <c r="X110" s="22" t="s">
        <v>56</v>
      </c>
      <c r="Y110" s="20"/>
      <c r="AC110" s="12" t="s">
        <v>194</v>
      </c>
    </row>
    <row r="111" spans="1:29" x14ac:dyDescent="0.35">
      <c r="A111" s="9"/>
      <c r="B111" s="126" t="s">
        <v>127</v>
      </c>
      <c r="C111" s="41" t="s">
        <v>118</v>
      </c>
      <c r="D111" s="20">
        <v>0.4</v>
      </c>
      <c r="E111" s="10" t="s">
        <v>47</v>
      </c>
      <c r="F111" s="59"/>
      <c r="G111" s="20">
        <f>R111*D111</f>
        <v>0.30000000000000004</v>
      </c>
      <c r="H111" s="23">
        <f t="shared" si="19"/>
        <v>8.0000000000000002E-3</v>
      </c>
      <c r="I111" s="20">
        <f t="shared" si="20"/>
        <v>6.1599999999999995E-2</v>
      </c>
      <c r="J111" s="20">
        <f t="shared" si="21"/>
        <v>0.36960000000000004</v>
      </c>
      <c r="K111" s="23"/>
      <c r="L111" s="27"/>
      <c r="M111" s="20">
        <f t="shared" si="22"/>
        <v>0.36960000000000004</v>
      </c>
      <c r="N111" s="66"/>
      <c r="O111" s="17" t="s">
        <v>164</v>
      </c>
      <c r="P111" s="17" t="s">
        <v>52</v>
      </c>
      <c r="Q111" s="20" t="s">
        <v>47</v>
      </c>
      <c r="R111" s="18">
        <v>0.75</v>
      </c>
      <c r="S111" s="23">
        <v>0.02</v>
      </c>
      <c r="T111" s="25">
        <v>1.2</v>
      </c>
      <c r="U111" s="23"/>
      <c r="V111" s="23"/>
      <c r="W111" s="24">
        <v>0.24299999999999999</v>
      </c>
      <c r="X111" s="20" t="s">
        <v>63</v>
      </c>
      <c r="Y111" s="20"/>
      <c r="AC111" s="103" t="s">
        <v>195</v>
      </c>
    </row>
    <row r="112" spans="1:29" x14ac:dyDescent="0.35">
      <c r="A112" s="9"/>
      <c r="B112" s="111"/>
      <c r="C112" s="60" t="s">
        <v>128</v>
      </c>
      <c r="D112" s="20">
        <v>0.2</v>
      </c>
      <c r="E112" s="10" t="s">
        <v>45</v>
      </c>
      <c r="F112" s="59"/>
      <c r="G112" s="20">
        <f>D112*R112</f>
        <v>0.28799999999999998</v>
      </c>
      <c r="H112" s="23">
        <f t="shared" si="19"/>
        <v>9.4736842105263164E-3</v>
      </c>
      <c r="I112" s="20">
        <f t="shared" si="20"/>
        <v>0</v>
      </c>
      <c r="J112" s="20">
        <f t="shared" si="21"/>
        <v>0.29747368421052628</v>
      </c>
      <c r="K112" s="23"/>
      <c r="L112" s="27"/>
      <c r="M112" s="20">
        <f t="shared" si="22"/>
        <v>0.29747368421052628</v>
      </c>
      <c r="N112" s="66"/>
      <c r="O112" s="20" t="s">
        <v>55</v>
      </c>
      <c r="P112" s="20" t="s">
        <v>89</v>
      </c>
      <c r="Q112" s="20" t="s">
        <v>45</v>
      </c>
      <c r="R112" s="20">
        <v>1.44</v>
      </c>
      <c r="S112" s="25">
        <f>S108/W108</f>
        <v>4.736842105263158E-2</v>
      </c>
      <c r="T112" s="25">
        <v>1</v>
      </c>
      <c r="U112" s="23"/>
      <c r="V112" s="23"/>
      <c r="W112" s="24"/>
      <c r="X112" s="20"/>
      <c r="Y112" s="20"/>
      <c r="AC112" s="111"/>
    </row>
    <row r="113" spans="1:29" x14ac:dyDescent="0.35">
      <c r="A113" s="9"/>
      <c r="B113" s="45" t="s">
        <v>114</v>
      </c>
      <c r="C113" s="41" t="s">
        <v>115</v>
      </c>
      <c r="D113" s="20">
        <v>0.1</v>
      </c>
      <c r="E113" s="10" t="s">
        <v>53</v>
      </c>
      <c r="F113" s="59"/>
      <c r="G113" s="27"/>
      <c r="H113" s="27"/>
      <c r="I113" s="20"/>
      <c r="J113" s="20"/>
      <c r="K113" s="20">
        <f>U113*D113</f>
        <v>0.14399999999999999</v>
      </c>
      <c r="L113" s="20">
        <f>V113*D113</f>
        <v>0.54500000000000004</v>
      </c>
      <c r="M113" s="20">
        <f t="shared" si="22"/>
        <v>0.68900000000000006</v>
      </c>
      <c r="N113" s="66"/>
      <c r="O113" s="17" t="s">
        <v>164</v>
      </c>
      <c r="P113" s="17" t="s">
        <v>59</v>
      </c>
      <c r="Q113" s="17" t="s">
        <v>53</v>
      </c>
      <c r="R113" s="16"/>
      <c r="S113" s="23"/>
      <c r="T113" s="17"/>
      <c r="U113" s="23">
        <v>1.44</v>
      </c>
      <c r="V113" s="23">
        <v>5.45</v>
      </c>
      <c r="W113" s="20"/>
      <c r="X113" s="20"/>
      <c r="Y113" s="20"/>
      <c r="AC113" s="7" t="s">
        <v>187</v>
      </c>
    </row>
    <row r="114" spans="1:29" ht="29" x14ac:dyDescent="0.35">
      <c r="A114" s="9"/>
      <c r="B114" s="116" t="s">
        <v>91</v>
      </c>
      <c r="C114" s="126" t="s">
        <v>16</v>
      </c>
      <c r="D114" s="121">
        <v>0.1</v>
      </c>
      <c r="E114" s="123" t="s">
        <v>23</v>
      </c>
      <c r="F114" s="59"/>
      <c r="G114" s="107"/>
      <c r="H114" s="99"/>
      <c r="I114" s="99"/>
      <c r="J114" s="107"/>
      <c r="K114" s="99">
        <f>U114*D114</f>
        <v>2.5253619999999999</v>
      </c>
      <c r="L114" s="110"/>
      <c r="M114" s="99">
        <f t="shared" si="22"/>
        <v>2.5253619999999999</v>
      </c>
      <c r="N114" s="66"/>
      <c r="O114" s="17" t="s">
        <v>22</v>
      </c>
      <c r="P114" s="17" t="s">
        <v>21</v>
      </c>
      <c r="Q114" s="17" t="s">
        <v>23</v>
      </c>
      <c r="R114" s="18"/>
      <c r="S114" s="17"/>
      <c r="T114" s="17"/>
      <c r="U114" s="23">
        <f>U115*W115*W114*Y114</f>
        <v>25.253619999999998</v>
      </c>
      <c r="V114" s="23"/>
      <c r="W114" s="27">
        <v>14</v>
      </c>
      <c r="X114" s="20" t="s">
        <v>33</v>
      </c>
      <c r="Y114" s="20">
        <v>0.7</v>
      </c>
      <c r="AC114" s="100"/>
    </row>
    <row r="115" spans="1:29" x14ac:dyDescent="0.35">
      <c r="A115" s="9"/>
      <c r="B115" s="116"/>
      <c r="C115" s="127"/>
      <c r="D115" s="122"/>
      <c r="E115" s="124"/>
      <c r="F115" s="59"/>
      <c r="G115" s="107"/>
      <c r="H115" s="99"/>
      <c r="I115" s="99"/>
      <c r="J115" s="107"/>
      <c r="K115" s="99"/>
      <c r="L115" s="110"/>
      <c r="M115" s="99"/>
      <c r="N115" s="66"/>
      <c r="O115" s="17" t="s">
        <v>32</v>
      </c>
      <c r="P115" s="17" t="s">
        <v>38</v>
      </c>
      <c r="Q115" s="17" t="s">
        <v>34</v>
      </c>
      <c r="R115" s="16"/>
      <c r="S115" s="17"/>
      <c r="T115" s="17"/>
      <c r="U115" s="24">
        <v>7.2999999999999995E-2</v>
      </c>
      <c r="V115" s="24"/>
      <c r="W115" s="20">
        <v>35.299999999999997</v>
      </c>
      <c r="X115" s="20" t="s">
        <v>36</v>
      </c>
      <c r="Y115" s="22"/>
      <c r="AC115" s="100"/>
    </row>
    <row r="116" spans="1:29" x14ac:dyDescent="0.35">
      <c r="A116" s="9"/>
      <c r="B116" s="1"/>
      <c r="C116" s="1"/>
      <c r="D116" s="1"/>
      <c r="E116" s="1"/>
      <c r="F116" s="1"/>
      <c r="G116" s="39">
        <f t="shared" ref="G116:M116" si="27">SUM(G106:G115)</f>
        <v>2.6380000000000003</v>
      </c>
      <c r="H116" s="39">
        <f t="shared" si="27"/>
        <v>0.5997473684210527</v>
      </c>
      <c r="I116" s="39">
        <f t="shared" si="27"/>
        <v>0.20923821052631592</v>
      </c>
      <c r="J116" s="51">
        <f t="shared" si="27"/>
        <v>3.4469855789473685</v>
      </c>
      <c r="K116" s="39">
        <f t="shared" si="27"/>
        <v>2.8293619999999997</v>
      </c>
      <c r="L116" s="39">
        <f t="shared" si="27"/>
        <v>0.54500000000000004</v>
      </c>
      <c r="M116" s="51">
        <f t="shared" si="27"/>
        <v>6.8213475789473677</v>
      </c>
      <c r="N116" s="1"/>
      <c r="O116" s="1"/>
      <c r="P116" s="1"/>
      <c r="Q116" s="1"/>
      <c r="R116" s="1"/>
    </row>
    <row r="117" spans="1:29" x14ac:dyDescent="0.35">
      <c r="C117" s="42"/>
    </row>
    <row r="118" spans="1:29" x14ac:dyDescent="0.35">
      <c r="A118" s="11">
        <v>8</v>
      </c>
      <c r="B118" s="6" t="s">
        <v>9</v>
      </c>
      <c r="C118" s="6"/>
      <c r="D118" s="1"/>
      <c r="E118" s="1"/>
      <c r="F118" s="1"/>
      <c r="G118" s="115" t="s">
        <v>60</v>
      </c>
      <c r="H118" s="115"/>
      <c r="I118" s="115"/>
      <c r="J118" s="115"/>
      <c r="K118" s="115"/>
      <c r="L118" s="115"/>
      <c r="M118" s="47"/>
      <c r="N118" s="1"/>
      <c r="O118" s="114" t="s">
        <v>62</v>
      </c>
      <c r="P118" s="114"/>
      <c r="Q118" s="114"/>
      <c r="R118" s="114"/>
      <c r="S118" s="114"/>
      <c r="T118" s="114"/>
      <c r="U118" s="114"/>
      <c r="V118" s="114"/>
      <c r="W118" s="114"/>
      <c r="X118" s="114"/>
      <c r="Y118" s="114"/>
      <c r="AC118" s="91" t="s">
        <v>219</v>
      </c>
    </row>
    <row r="119" spans="1:29" ht="29" x14ac:dyDescent="0.35">
      <c r="B119" s="56" t="s">
        <v>111</v>
      </c>
      <c r="C119" s="15" t="s">
        <v>15</v>
      </c>
      <c r="D119" s="15" t="s">
        <v>208</v>
      </c>
      <c r="E119" s="32" t="s">
        <v>61</v>
      </c>
      <c r="F119" s="73"/>
      <c r="G119" s="13" t="s">
        <v>1</v>
      </c>
      <c r="H119" s="13" t="s">
        <v>2</v>
      </c>
      <c r="I119" s="14" t="s">
        <v>3</v>
      </c>
      <c r="J119" s="52" t="s">
        <v>20</v>
      </c>
      <c r="K119" s="14" t="s">
        <v>4</v>
      </c>
      <c r="L119" s="14" t="s">
        <v>40</v>
      </c>
      <c r="M119" s="52" t="s">
        <v>102</v>
      </c>
      <c r="N119" s="64"/>
      <c r="O119" s="13" t="s">
        <v>17</v>
      </c>
      <c r="P119" s="13" t="s">
        <v>18</v>
      </c>
      <c r="Q119" s="13" t="s">
        <v>61</v>
      </c>
      <c r="R119" s="13" t="s">
        <v>1</v>
      </c>
      <c r="S119" s="13" t="s">
        <v>2</v>
      </c>
      <c r="T119" s="13" t="s">
        <v>19</v>
      </c>
      <c r="U119" s="13" t="s">
        <v>4</v>
      </c>
      <c r="V119" s="13" t="s">
        <v>41</v>
      </c>
      <c r="W119" s="108" t="s">
        <v>156</v>
      </c>
      <c r="X119" s="108"/>
      <c r="Y119" s="14" t="s">
        <v>35</v>
      </c>
      <c r="AC119" s="14" t="s">
        <v>222</v>
      </c>
    </row>
    <row r="120" spans="1:29" x14ac:dyDescent="0.35">
      <c r="A120" s="9"/>
      <c r="B120" s="103" t="s">
        <v>129</v>
      </c>
      <c r="C120" s="44" t="s">
        <v>10</v>
      </c>
      <c r="D120" s="20">
        <v>0.3</v>
      </c>
      <c r="E120" s="10" t="s">
        <v>47</v>
      </c>
      <c r="F120" s="59"/>
      <c r="G120" s="20">
        <f t="shared" ref="G120:G131" si="28">$D120*$R120</f>
        <v>1.587</v>
      </c>
      <c r="H120" s="20">
        <f t="shared" ref="H120:H131" si="29">$D120*$S120</f>
        <v>0.159</v>
      </c>
      <c r="I120" s="23">
        <f t="shared" ref="I120:I131" si="30">(G120+H120)*(T120-1)</f>
        <v>0</v>
      </c>
      <c r="J120" s="20">
        <f t="shared" ref="J120:J131" si="31">SUM(G120:I120)</f>
        <v>1.746</v>
      </c>
      <c r="K120" s="20">
        <f t="shared" ref="K120:K128" si="32">$D120*$U120</f>
        <v>8.1000000000000003E-2</v>
      </c>
      <c r="L120" s="20"/>
      <c r="M120" s="20">
        <f t="shared" ref="M120:M132" si="33">SUM(J120:L120)</f>
        <v>1.827</v>
      </c>
      <c r="N120" s="66"/>
      <c r="O120" s="27" t="s">
        <v>55</v>
      </c>
      <c r="P120" s="27" t="s">
        <v>78</v>
      </c>
      <c r="Q120" s="27" t="s">
        <v>47</v>
      </c>
      <c r="R120" s="23">
        <v>5.29</v>
      </c>
      <c r="S120" s="23">
        <v>0.53</v>
      </c>
      <c r="T120" s="25">
        <v>1</v>
      </c>
      <c r="U120" s="23">
        <v>0.27</v>
      </c>
      <c r="V120" s="27"/>
      <c r="W120" s="27">
        <v>2243</v>
      </c>
      <c r="X120" s="27" t="s">
        <v>56</v>
      </c>
      <c r="Y120" s="20"/>
      <c r="AC120" s="103" t="s">
        <v>196</v>
      </c>
    </row>
    <row r="121" spans="1:29" x14ac:dyDescent="0.35">
      <c r="A121" s="9"/>
      <c r="B121" s="104"/>
      <c r="C121" s="45" t="s">
        <v>130</v>
      </c>
      <c r="D121" s="20">
        <v>0.3</v>
      </c>
      <c r="E121" s="10" t="s">
        <v>47</v>
      </c>
      <c r="F121" s="59"/>
      <c r="G121" s="20">
        <f t="shared" si="28"/>
        <v>5.976</v>
      </c>
      <c r="H121" s="20">
        <f t="shared" si="29"/>
        <v>1.4279999999999999</v>
      </c>
      <c r="I121" s="23">
        <f t="shared" si="30"/>
        <v>0.37020000000000031</v>
      </c>
      <c r="J121" s="20">
        <f t="shared" si="31"/>
        <v>7.7742000000000004</v>
      </c>
      <c r="K121" s="20"/>
      <c r="L121" s="20"/>
      <c r="M121" s="20">
        <f t="shared" si="33"/>
        <v>7.7742000000000004</v>
      </c>
      <c r="N121" s="66"/>
      <c r="O121" s="27" t="s">
        <v>55</v>
      </c>
      <c r="P121" s="27" t="s">
        <v>72</v>
      </c>
      <c r="Q121" s="27" t="s">
        <v>47</v>
      </c>
      <c r="R121" s="23">
        <v>19.920000000000002</v>
      </c>
      <c r="S121" s="23">
        <v>4.76</v>
      </c>
      <c r="T121" s="25">
        <v>1.05</v>
      </c>
      <c r="U121" s="27"/>
      <c r="V121" s="27"/>
      <c r="W121" s="27">
        <v>120</v>
      </c>
      <c r="X121" s="27" t="s">
        <v>63</v>
      </c>
      <c r="Y121" s="20"/>
      <c r="AC121" s="104"/>
    </row>
    <row r="122" spans="1:29" x14ac:dyDescent="0.35">
      <c r="A122" s="9"/>
      <c r="B122" s="104"/>
      <c r="C122" s="7" t="s">
        <v>131</v>
      </c>
      <c r="D122" s="27">
        <v>6</v>
      </c>
      <c r="E122" s="10" t="s">
        <v>45</v>
      </c>
      <c r="F122" s="59"/>
      <c r="G122" s="20">
        <f t="shared" si="28"/>
        <v>0.09</v>
      </c>
      <c r="H122" s="20">
        <f t="shared" si="29"/>
        <v>7.2000000000000008E-2</v>
      </c>
      <c r="I122" s="23">
        <f t="shared" si="30"/>
        <v>8.1000000000000082E-3</v>
      </c>
      <c r="J122" s="20">
        <f t="shared" si="31"/>
        <v>0.1701</v>
      </c>
      <c r="K122" s="20"/>
      <c r="L122" s="20"/>
      <c r="M122" s="20">
        <f t="shared" si="33"/>
        <v>0.1701</v>
      </c>
      <c r="N122" s="66"/>
      <c r="O122" s="27" t="s">
        <v>73</v>
      </c>
      <c r="P122" s="27" t="s">
        <v>74</v>
      </c>
      <c r="Q122" s="27" t="s">
        <v>45</v>
      </c>
      <c r="R122" s="24">
        <v>1.4999999999999999E-2</v>
      </c>
      <c r="S122" s="24">
        <v>1.2E-2</v>
      </c>
      <c r="T122" s="23">
        <v>1.05</v>
      </c>
      <c r="U122" s="23"/>
      <c r="V122" s="27"/>
      <c r="W122" s="27"/>
      <c r="X122" s="27"/>
      <c r="Y122" s="20"/>
      <c r="AC122" s="104"/>
    </row>
    <row r="123" spans="1:29" x14ac:dyDescent="0.35">
      <c r="A123" s="9"/>
      <c r="B123" s="104"/>
      <c r="C123" s="12" t="s">
        <v>132</v>
      </c>
      <c r="D123" s="23">
        <v>0.01</v>
      </c>
      <c r="E123" s="10" t="s">
        <v>53</v>
      </c>
      <c r="F123" s="59"/>
      <c r="G123" s="20">
        <f t="shared" si="28"/>
        <v>8.6999999999999994E-2</v>
      </c>
      <c r="H123" s="20">
        <f t="shared" si="29"/>
        <v>7.1890000000000009E-2</v>
      </c>
      <c r="I123" s="23">
        <f t="shared" si="30"/>
        <v>7.9445000000000071E-3</v>
      </c>
      <c r="J123" s="20">
        <f t="shared" si="31"/>
        <v>0.1668345</v>
      </c>
      <c r="K123" s="20"/>
      <c r="L123" s="20"/>
      <c r="M123" s="20">
        <f t="shared" si="33"/>
        <v>0.1668345</v>
      </c>
      <c r="N123" s="66"/>
      <c r="O123" s="27" t="s">
        <v>79</v>
      </c>
      <c r="P123" s="27" t="s">
        <v>80</v>
      </c>
      <c r="Q123" s="27" t="s">
        <v>53</v>
      </c>
      <c r="R123" s="23">
        <f>0.0174*W123</f>
        <v>8.6999999999999993</v>
      </c>
      <c r="S123" s="22">
        <f>S125</f>
        <v>7.1890000000000009</v>
      </c>
      <c r="T123" s="23">
        <v>1.05</v>
      </c>
      <c r="U123" s="23"/>
      <c r="V123" s="27"/>
      <c r="W123" s="27">
        <v>500</v>
      </c>
      <c r="X123" s="27" t="s">
        <v>56</v>
      </c>
      <c r="Y123" s="20"/>
      <c r="AC123" s="104"/>
    </row>
    <row r="124" spans="1:29" ht="29" x14ac:dyDescent="0.35">
      <c r="A124" s="9"/>
      <c r="B124" s="103" t="s">
        <v>136</v>
      </c>
      <c r="C124" s="60" t="s">
        <v>133</v>
      </c>
      <c r="D124" s="23">
        <v>0.01</v>
      </c>
      <c r="E124" s="10" t="s">
        <v>48</v>
      </c>
      <c r="F124" s="59"/>
      <c r="G124" s="20">
        <f t="shared" si="28"/>
        <v>0.114</v>
      </c>
      <c r="H124" s="23">
        <f t="shared" si="29"/>
        <v>4.3236666666666659E-2</v>
      </c>
      <c r="I124" s="23">
        <f t="shared" si="30"/>
        <v>7.8618333333333405E-3</v>
      </c>
      <c r="J124" s="20">
        <f t="shared" si="31"/>
        <v>0.16509850000000001</v>
      </c>
      <c r="K124" s="20"/>
      <c r="L124" s="20"/>
      <c r="M124" s="20">
        <f t="shared" si="33"/>
        <v>0.16509850000000001</v>
      </c>
      <c r="N124" s="66"/>
      <c r="O124" s="27" t="s">
        <v>79</v>
      </c>
      <c r="P124" s="27" t="s">
        <v>83</v>
      </c>
      <c r="Q124" s="27" t="s">
        <v>48</v>
      </c>
      <c r="R124" s="20">
        <v>11.4</v>
      </c>
      <c r="S124" s="22">
        <f>S121/W121*W124</f>
        <v>4.3236666666666661</v>
      </c>
      <c r="T124" s="23">
        <v>1.05</v>
      </c>
      <c r="U124" s="27"/>
      <c r="V124" s="27"/>
      <c r="W124" s="27">
        <v>109</v>
      </c>
      <c r="X124" s="27" t="s">
        <v>70</v>
      </c>
      <c r="Y124" s="20"/>
      <c r="AC124" s="103" t="s">
        <v>197</v>
      </c>
    </row>
    <row r="125" spans="1:29" x14ac:dyDescent="0.35">
      <c r="A125" s="9"/>
      <c r="B125" s="111"/>
      <c r="C125" s="60" t="s">
        <v>134</v>
      </c>
      <c r="D125" s="23">
        <v>0.01</v>
      </c>
      <c r="E125" s="10" t="s">
        <v>53</v>
      </c>
      <c r="F125" s="59"/>
      <c r="G125" s="20">
        <f t="shared" si="28"/>
        <v>0.29120000000000001</v>
      </c>
      <c r="H125" s="20">
        <f t="shared" si="29"/>
        <v>7.1890000000000009E-2</v>
      </c>
      <c r="I125" s="23">
        <f t="shared" si="30"/>
        <v>3.6309000000000036E-2</v>
      </c>
      <c r="J125" s="20">
        <f t="shared" si="31"/>
        <v>0.39939900000000006</v>
      </c>
      <c r="K125" s="20"/>
      <c r="L125" s="20"/>
      <c r="M125" s="20">
        <f t="shared" si="33"/>
        <v>0.39939900000000006</v>
      </c>
      <c r="N125" s="66"/>
      <c r="O125" s="27" t="s">
        <v>32</v>
      </c>
      <c r="P125" s="27" t="s">
        <v>98</v>
      </c>
      <c r="Q125" s="27" t="s">
        <v>53</v>
      </c>
      <c r="R125" s="27">
        <f>0.064*W125</f>
        <v>29.12</v>
      </c>
      <c r="S125" s="20">
        <f>0.0158*W125</f>
        <v>7.1890000000000009</v>
      </c>
      <c r="T125" s="23">
        <v>1.1000000000000001</v>
      </c>
      <c r="U125" s="27"/>
      <c r="V125" s="27"/>
      <c r="W125" s="27">
        <v>455</v>
      </c>
      <c r="X125" s="27" t="s">
        <v>56</v>
      </c>
      <c r="Y125" s="20"/>
      <c r="AC125" s="111"/>
    </row>
    <row r="126" spans="1:29" x14ac:dyDescent="0.35">
      <c r="A126" s="9"/>
      <c r="B126" s="28" t="s">
        <v>137</v>
      </c>
      <c r="C126" s="45" t="s">
        <v>135</v>
      </c>
      <c r="D126" s="24">
        <v>1E-3</v>
      </c>
      <c r="E126" s="10" t="s">
        <v>53</v>
      </c>
      <c r="F126" s="59"/>
      <c r="G126" s="20">
        <f t="shared" si="28"/>
        <v>1.976</v>
      </c>
      <c r="H126" s="20">
        <f t="shared" si="29"/>
        <v>0.10488000000000001</v>
      </c>
      <c r="I126" s="20">
        <f t="shared" si="30"/>
        <v>6.2426400000000055E-2</v>
      </c>
      <c r="J126" s="20">
        <f t="shared" si="31"/>
        <v>2.1433064000000002</v>
      </c>
      <c r="K126" s="20"/>
      <c r="L126" s="20"/>
      <c r="M126" s="20">
        <f t="shared" si="33"/>
        <v>2.1433064000000002</v>
      </c>
      <c r="N126" s="66"/>
      <c r="O126" s="17" t="s">
        <v>32</v>
      </c>
      <c r="P126" s="17" t="s">
        <v>97</v>
      </c>
      <c r="Q126" s="17" t="s">
        <v>53</v>
      </c>
      <c r="R126" s="16">
        <f>0.65*W126</f>
        <v>1976</v>
      </c>
      <c r="S126" s="27">
        <f>0.0345*W126</f>
        <v>104.88000000000001</v>
      </c>
      <c r="T126" s="23">
        <v>1.03</v>
      </c>
      <c r="U126" s="23"/>
      <c r="V126" s="23"/>
      <c r="W126" s="27">
        <v>3040</v>
      </c>
      <c r="X126" s="20" t="s">
        <v>56</v>
      </c>
      <c r="Y126" s="20"/>
      <c r="AC126" s="28" t="s">
        <v>198</v>
      </c>
    </row>
    <row r="127" spans="1:29" ht="29" x14ac:dyDescent="0.35">
      <c r="A127" s="9"/>
      <c r="B127" s="100" t="s">
        <v>126</v>
      </c>
      <c r="C127" s="60" t="s">
        <v>138</v>
      </c>
      <c r="D127" s="23">
        <v>0.01</v>
      </c>
      <c r="E127" s="10" t="s">
        <v>53</v>
      </c>
      <c r="F127" s="59"/>
      <c r="G127" s="20">
        <f t="shared" si="28"/>
        <v>4.3600000000000007E-2</v>
      </c>
      <c r="H127" s="20">
        <f t="shared" si="29"/>
        <v>5.45E-2</v>
      </c>
      <c r="I127" s="23">
        <f t="shared" si="30"/>
        <v>9.8100000000000097E-3</v>
      </c>
      <c r="J127" s="20">
        <f t="shared" si="31"/>
        <v>0.10791000000000002</v>
      </c>
      <c r="K127" s="23">
        <f t="shared" si="32"/>
        <v>1.6E-2</v>
      </c>
      <c r="L127" s="20"/>
      <c r="M127" s="20">
        <f t="shared" si="33"/>
        <v>0.12391000000000002</v>
      </c>
      <c r="N127" s="66"/>
      <c r="O127" s="17" t="s">
        <v>164</v>
      </c>
      <c r="P127" s="17" t="s">
        <v>57</v>
      </c>
      <c r="Q127" s="20" t="s">
        <v>53</v>
      </c>
      <c r="R127" s="19">
        <v>4.3600000000000003</v>
      </c>
      <c r="S127" s="23">
        <v>5.45</v>
      </c>
      <c r="T127" s="25">
        <v>1.1000000000000001</v>
      </c>
      <c r="U127" s="25">
        <f>1.44+0.16</f>
        <v>1.5999999999999999</v>
      </c>
      <c r="V127" s="25"/>
      <c r="W127" s="22">
        <v>1600</v>
      </c>
      <c r="X127" s="22" t="s">
        <v>56</v>
      </c>
      <c r="Y127" s="20"/>
      <c r="AC127" s="100" t="s">
        <v>194</v>
      </c>
    </row>
    <row r="128" spans="1:29" ht="29" x14ac:dyDescent="0.35">
      <c r="A128" s="9"/>
      <c r="B128" s="100"/>
      <c r="C128" s="41" t="s">
        <v>92</v>
      </c>
      <c r="D128" s="20">
        <v>0.2</v>
      </c>
      <c r="E128" s="10" t="s">
        <v>53</v>
      </c>
      <c r="F128" s="59"/>
      <c r="G128" s="20">
        <f t="shared" si="28"/>
        <v>0.87200000000000011</v>
      </c>
      <c r="H128" s="20">
        <f t="shared" si="29"/>
        <v>1.0900000000000001</v>
      </c>
      <c r="I128" s="20">
        <f t="shared" si="30"/>
        <v>0.19620000000000018</v>
      </c>
      <c r="J128" s="20">
        <f t="shared" si="31"/>
        <v>2.1582000000000003</v>
      </c>
      <c r="K128" s="20">
        <f t="shared" si="32"/>
        <v>0.32</v>
      </c>
      <c r="L128" s="20"/>
      <c r="M128" s="20">
        <f t="shared" si="33"/>
        <v>2.4782000000000002</v>
      </c>
      <c r="N128" s="66"/>
      <c r="O128" s="17" t="s">
        <v>164</v>
      </c>
      <c r="P128" s="17" t="s">
        <v>57</v>
      </c>
      <c r="Q128" s="20" t="s">
        <v>53</v>
      </c>
      <c r="R128" s="19">
        <v>4.3600000000000003</v>
      </c>
      <c r="S128" s="23">
        <v>5.45</v>
      </c>
      <c r="T128" s="25">
        <v>1.1000000000000001</v>
      </c>
      <c r="U128" s="25">
        <f>1.44+0.16</f>
        <v>1.5999999999999999</v>
      </c>
      <c r="V128" s="25"/>
      <c r="W128" s="22">
        <v>1600</v>
      </c>
      <c r="X128" s="22" t="s">
        <v>56</v>
      </c>
      <c r="Y128" s="20"/>
      <c r="AC128" s="100"/>
    </row>
    <row r="129" spans="1:29" x14ac:dyDescent="0.35">
      <c r="A129" s="9"/>
      <c r="B129" s="61" t="s">
        <v>117</v>
      </c>
      <c r="C129" s="41" t="s">
        <v>118</v>
      </c>
      <c r="D129" s="20">
        <v>0.6</v>
      </c>
      <c r="E129" s="10" t="s">
        <v>47</v>
      </c>
      <c r="F129" s="59"/>
      <c r="G129" s="20">
        <f t="shared" si="28"/>
        <v>0.44999999999999996</v>
      </c>
      <c r="H129" s="23">
        <f t="shared" si="29"/>
        <v>1.2E-2</v>
      </c>
      <c r="I129" s="20">
        <f t="shared" si="30"/>
        <v>9.2399999999999968E-2</v>
      </c>
      <c r="J129" s="20">
        <f t="shared" si="31"/>
        <v>0.55439999999999989</v>
      </c>
      <c r="K129" s="20"/>
      <c r="L129" s="20"/>
      <c r="M129" s="20">
        <f t="shared" si="33"/>
        <v>0.55439999999999989</v>
      </c>
      <c r="N129" s="66"/>
      <c r="O129" s="17" t="s">
        <v>164</v>
      </c>
      <c r="P129" s="17" t="s">
        <v>52</v>
      </c>
      <c r="Q129" s="20" t="s">
        <v>47</v>
      </c>
      <c r="R129" s="18">
        <v>0.75</v>
      </c>
      <c r="S129" s="23">
        <v>0.02</v>
      </c>
      <c r="T129" s="25">
        <v>1.2</v>
      </c>
      <c r="U129" s="23"/>
      <c r="V129" s="23"/>
      <c r="W129" s="24">
        <v>0.24299999999999999</v>
      </c>
      <c r="X129" s="20" t="s">
        <v>63</v>
      </c>
      <c r="Y129" s="20"/>
      <c r="AC129" s="7" t="s">
        <v>189</v>
      </c>
    </row>
    <row r="130" spans="1:29" x14ac:dyDescent="0.35">
      <c r="A130" s="9"/>
      <c r="B130" s="45" t="s">
        <v>139</v>
      </c>
      <c r="C130" s="41" t="s">
        <v>140</v>
      </c>
      <c r="D130" s="23">
        <v>0.01</v>
      </c>
      <c r="E130" s="10" t="s">
        <v>48</v>
      </c>
      <c r="F130" s="59"/>
      <c r="G130" s="20">
        <f t="shared" si="28"/>
        <v>0.78680000000000005</v>
      </c>
      <c r="H130" s="20">
        <f t="shared" si="29"/>
        <v>0.16159999999999999</v>
      </c>
      <c r="I130" s="23">
        <f t="shared" si="30"/>
        <v>0</v>
      </c>
      <c r="J130" s="20">
        <f t="shared" si="31"/>
        <v>0.94840000000000002</v>
      </c>
      <c r="K130" s="20"/>
      <c r="L130" s="20"/>
      <c r="M130" s="20">
        <f t="shared" si="33"/>
        <v>0.94840000000000002</v>
      </c>
      <c r="N130" s="66"/>
      <c r="O130" s="27" t="s">
        <v>55</v>
      </c>
      <c r="P130" s="27" t="s">
        <v>76</v>
      </c>
      <c r="Q130" s="20" t="s">
        <v>48</v>
      </c>
      <c r="R130" s="23">
        <v>78.680000000000007</v>
      </c>
      <c r="S130" s="27">
        <v>16.16</v>
      </c>
      <c r="T130" s="23">
        <v>1</v>
      </c>
      <c r="U130" s="23"/>
      <c r="V130" s="23"/>
      <c r="W130" s="24"/>
      <c r="X130" s="20"/>
      <c r="Y130" s="20"/>
      <c r="AC130" s="7" t="s">
        <v>199</v>
      </c>
    </row>
    <row r="131" spans="1:29" ht="29" x14ac:dyDescent="0.35">
      <c r="A131" s="9"/>
      <c r="B131" s="45" t="s">
        <v>141</v>
      </c>
      <c r="C131" s="37" t="s">
        <v>142</v>
      </c>
      <c r="D131" s="24">
        <v>1E-3</v>
      </c>
      <c r="E131" s="10" t="s">
        <v>53</v>
      </c>
      <c r="F131" s="59"/>
      <c r="G131" s="20">
        <f t="shared" si="28"/>
        <v>0.47520000000000007</v>
      </c>
      <c r="H131" s="20">
        <f t="shared" si="29"/>
        <v>0.108</v>
      </c>
      <c r="I131" s="23">
        <f t="shared" si="30"/>
        <v>0</v>
      </c>
      <c r="J131" s="20">
        <f t="shared" si="31"/>
        <v>0.58320000000000005</v>
      </c>
      <c r="K131" s="20"/>
      <c r="L131" s="20"/>
      <c r="M131" s="20">
        <f t="shared" si="33"/>
        <v>0.58320000000000005</v>
      </c>
      <c r="N131" s="66"/>
      <c r="O131" s="27" t="s">
        <v>32</v>
      </c>
      <c r="P131" s="27" t="s">
        <v>87</v>
      </c>
      <c r="Q131" s="27" t="s">
        <v>53</v>
      </c>
      <c r="R131" s="23">
        <f>0.198*W131</f>
        <v>475.20000000000005</v>
      </c>
      <c r="S131" s="27">
        <f>0.045*W131</f>
        <v>108</v>
      </c>
      <c r="T131" s="23">
        <v>1</v>
      </c>
      <c r="U131" s="23"/>
      <c r="V131" s="23"/>
      <c r="W131" s="27">
        <v>2400</v>
      </c>
      <c r="X131" s="20" t="s">
        <v>56</v>
      </c>
      <c r="Y131" s="20"/>
      <c r="AC131" s="7" t="s">
        <v>200</v>
      </c>
    </row>
    <row r="132" spans="1:29" ht="29" x14ac:dyDescent="0.35">
      <c r="A132" s="9"/>
      <c r="B132" s="116" t="s">
        <v>91</v>
      </c>
      <c r="C132" s="126" t="s">
        <v>16</v>
      </c>
      <c r="D132" s="121">
        <v>0.1</v>
      </c>
      <c r="E132" s="123" t="s">
        <v>23</v>
      </c>
      <c r="F132" s="59"/>
      <c r="G132" s="107"/>
      <c r="H132" s="99"/>
      <c r="I132" s="99"/>
      <c r="J132" s="107"/>
      <c r="K132" s="99">
        <f>U132*D132</f>
        <v>2.5253619999999999</v>
      </c>
      <c r="L132" s="110"/>
      <c r="M132" s="99">
        <f t="shared" si="33"/>
        <v>2.5253619999999999</v>
      </c>
      <c r="N132" s="66"/>
      <c r="O132" s="17" t="s">
        <v>22</v>
      </c>
      <c r="P132" s="17" t="s">
        <v>21</v>
      </c>
      <c r="Q132" s="17" t="s">
        <v>23</v>
      </c>
      <c r="R132" s="18"/>
      <c r="S132" s="17"/>
      <c r="T132" s="17"/>
      <c r="U132" s="23">
        <f>U133*W133*W132*Y132</f>
        <v>25.253619999999998</v>
      </c>
      <c r="V132" s="23"/>
      <c r="W132" s="27">
        <v>14</v>
      </c>
      <c r="X132" s="20" t="s">
        <v>33</v>
      </c>
      <c r="Y132" s="20">
        <v>0.7</v>
      </c>
      <c r="AC132" s="100"/>
    </row>
    <row r="133" spans="1:29" x14ac:dyDescent="0.35">
      <c r="A133" s="9"/>
      <c r="B133" s="116"/>
      <c r="C133" s="127"/>
      <c r="D133" s="122"/>
      <c r="E133" s="124"/>
      <c r="F133" s="59"/>
      <c r="G133" s="107"/>
      <c r="H133" s="99"/>
      <c r="I133" s="99"/>
      <c r="J133" s="107"/>
      <c r="K133" s="99"/>
      <c r="L133" s="110"/>
      <c r="M133" s="99"/>
      <c r="N133" s="66"/>
      <c r="O133" s="17" t="s">
        <v>32</v>
      </c>
      <c r="P133" s="17" t="s">
        <v>38</v>
      </c>
      <c r="Q133" s="17" t="s">
        <v>34</v>
      </c>
      <c r="R133" s="16"/>
      <c r="S133" s="17"/>
      <c r="T133" s="17"/>
      <c r="U133" s="24">
        <v>7.2999999999999995E-2</v>
      </c>
      <c r="V133" s="24"/>
      <c r="W133" s="20">
        <v>35.299999999999997</v>
      </c>
      <c r="X133" s="20" t="s">
        <v>36</v>
      </c>
      <c r="Y133" s="22"/>
      <c r="AC133" s="100"/>
    </row>
    <row r="134" spans="1:29" x14ac:dyDescent="0.35">
      <c r="A134" s="9"/>
      <c r="B134" s="1"/>
      <c r="C134" s="42"/>
      <c r="D134" s="1"/>
      <c r="E134" s="1"/>
      <c r="F134" s="1"/>
      <c r="G134" s="87">
        <f t="shared" ref="G134:M134" si="34">SUM(G120:G133)</f>
        <v>12.748799999999996</v>
      </c>
      <c r="H134" s="86">
        <f t="shared" si="34"/>
        <v>3.3769966666666669</v>
      </c>
      <c r="I134" s="86">
        <f t="shared" si="34"/>
        <v>0.79125173333333387</v>
      </c>
      <c r="J134" s="50">
        <f t="shared" si="34"/>
        <v>16.917048400000002</v>
      </c>
      <c r="K134" s="86">
        <f t="shared" si="34"/>
        <v>2.9423620000000001</v>
      </c>
      <c r="L134" s="86">
        <f t="shared" si="34"/>
        <v>0</v>
      </c>
      <c r="M134" s="50">
        <f t="shared" si="34"/>
        <v>19.859410400000005</v>
      </c>
      <c r="N134" s="1"/>
      <c r="O134" s="1"/>
      <c r="P134" s="1"/>
      <c r="Q134" s="1"/>
      <c r="R134" s="1"/>
    </row>
    <row r="135" spans="1:29" x14ac:dyDescent="0.35">
      <c r="C135" s="43"/>
    </row>
    <row r="136" spans="1:29" x14ac:dyDescent="0.35">
      <c r="A136" s="11">
        <v>9</v>
      </c>
      <c r="B136" s="6" t="s">
        <v>77</v>
      </c>
      <c r="C136" s="35"/>
      <c r="D136" s="1"/>
      <c r="E136" s="1"/>
      <c r="F136" s="1"/>
      <c r="G136" s="115" t="s">
        <v>60</v>
      </c>
      <c r="H136" s="115"/>
      <c r="I136" s="115"/>
      <c r="J136" s="115"/>
      <c r="K136" s="115"/>
      <c r="L136" s="115"/>
      <c r="M136" s="47"/>
      <c r="N136" s="1"/>
      <c r="O136" s="114" t="s">
        <v>62</v>
      </c>
      <c r="P136" s="114"/>
      <c r="Q136" s="114"/>
      <c r="R136" s="114"/>
      <c r="S136" s="114"/>
      <c r="T136" s="114"/>
      <c r="U136" s="114"/>
      <c r="V136" s="114"/>
      <c r="W136" s="114"/>
      <c r="X136" s="114"/>
      <c r="Y136" s="114"/>
      <c r="AC136" s="35" t="s">
        <v>220</v>
      </c>
    </row>
    <row r="137" spans="1:29" ht="29" x14ac:dyDescent="0.35">
      <c r="B137" s="56" t="s">
        <v>111</v>
      </c>
      <c r="C137" s="15" t="s">
        <v>15</v>
      </c>
      <c r="D137" s="15" t="s">
        <v>208</v>
      </c>
      <c r="E137" s="32" t="s">
        <v>61</v>
      </c>
      <c r="F137" s="59"/>
      <c r="G137" s="13" t="s">
        <v>1</v>
      </c>
      <c r="H137" s="13" t="s">
        <v>2</v>
      </c>
      <c r="I137" s="14" t="s">
        <v>3</v>
      </c>
      <c r="J137" s="52" t="s">
        <v>20</v>
      </c>
      <c r="K137" s="14" t="s">
        <v>4</v>
      </c>
      <c r="L137" s="14" t="s">
        <v>40</v>
      </c>
      <c r="M137" s="52" t="s">
        <v>102</v>
      </c>
      <c r="N137" s="66"/>
      <c r="O137" s="13" t="s">
        <v>17</v>
      </c>
      <c r="P137" s="13" t="s">
        <v>18</v>
      </c>
      <c r="Q137" s="13" t="s">
        <v>61</v>
      </c>
      <c r="R137" s="13" t="s">
        <v>1</v>
      </c>
      <c r="S137" s="13" t="s">
        <v>2</v>
      </c>
      <c r="T137" s="13" t="s">
        <v>19</v>
      </c>
      <c r="U137" s="13" t="s">
        <v>4</v>
      </c>
      <c r="V137" s="13" t="s">
        <v>41</v>
      </c>
      <c r="W137" s="108" t="s">
        <v>156</v>
      </c>
      <c r="X137" s="108"/>
      <c r="Y137" s="14" t="s">
        <v>35</v>
      </c>
      <c r="AC137" s="14" t="s">
        <v>222</v>
      </c>
    </row>
    <row r="138" spans="1:29" x14ac:dyDescent="0.35">
      <c r="A138" s="9"/>
      <c r="B138" s="103" t="s">
        <v>129</v>
      </c>
      <c r="C138" s="44" t="s">
        <v>143</v>
      </c>
      <c r="D138" s="27">
        <v>6</v>
      </c>
      <c r="E138" s="10" t="s">
        <v>45</v>
      </c>
      <c r="F138" s="59"/>
      <c r="G138" s="20">
        <f t="shared" ref="G138:G145" si="35">D138*R138</f>
        <v>0.09</v>
      </c>
      <c r="H138" s="20">
        <f t="shared" ref="H138:H145" si="36">D138*S138</f>
        <v>7.2000000000000008E-2</v>
      </c>
      <c r="I138" s="23">
        <f t="shared" ref="I138:I145" si="37">(G138+H138)*(T138-1)</f>
        <v>8.1000000000000082E-3</v>
      </c>
      <c r="J138" s="20">
        <f>SUM(G138:I138)</f>
        <v>0.1701</v>
      </c>
      <c r="K138" s="27"/>
      <c r="L138" s="23"/>
      <c r="M138" s="20">
        <f>SUM(J138:L138)</f>
        <v>0.1701</v>
      </c>
      <c r="N138" s="66"/>
      <c r="O138" s="27" t="s">
        <v>73</v>
      </c>
      <c r="P138" s="27" t="s">
        <v>74</v>
      </c>
      <c r="Q138" s="27" t="s">
        <v>45</v>
      </c>
      <c r="R138" s="24">
        <v>1.4999999999999999E-2</v>
      </c>
      <c r="S138" s="24">
        <v>1.2E-2</v>
      </c>
      <c r="T138" s="23">
        <v>1.05</v>
      </c>
      <c r="U138" s="23"/>
      <c r="V138" s="27"/>
      <c r="W138" s="27"/>
      <c r="X138" s="27"/>
      <c r="Y138" s="20"/>
      <c r="AC138" s="103" t="s">
        <v>196</v>
      </c>
    </row>
    <row r="139" spans="1:29" x14ac:dyDescent="0.35">
      <c r="A139" s="9"/>
      <c r="B139" s="104"/>
      <c r="C139" s="12" t="s">
        <v>132</v>
      </c>
      <c r="D139" s="23">
        <v>0.01</v>
      </c>
      <c r="E139" s="10" t="s">
        <v>53</v>
      </c>
      <c r="F139" s="59"/>
      <c r="G139" s="20">
        <f t="shared" si="35"/>
        <v>8.6999999999999994E-2</v>
      </c>
      <c r="H139" s="20">
        <f t="shared" si="36"/>
        <v>7.1890000000000009E-2</v>
      </c>
      <c r="I139" s="23">
        <f t="shared" si="37"/>
        <v>7.9445000000000071E-3</v>
      </c>
      <c r="J139" s="20">
        <f t="shared" ref="J139:J145" si="38">SUM(G139:I139)</f>
        <v>0.1668345</v>
      </c>
      <c r="K139" s="27"/>
      <c r="L139" s="23"/>
      <c r="M139" s="20">
        <f t="shared" ref="M139:M146" si="39">SUM(J139:L139)</f>
        <v>0.1668345</v>
      </c>
      <c r="N139" s="66"/>
      <c r="O139" s="27" t="s">
        <v>79</v>
      </c>
      <c r="P139" s="27" t="s">
        <v>80</v>
      </c>
      <c r="Q139" s="27" t="s">
        <v>53</v>
      </c>
      <c r="R139" s="23">
        <f>0.0174*W139</f>
        <v>8.6999999999999993</v>
      </c>
      <c r="S139" s="22">
        <f>S123</f>
        <v>7.1890000000000009</v>
      </c>
      <c r="T139" s="23">
        <v>1.05</v>
      </c>
      <c r="U139" s="23"/>
      <c r="V139" s="27"/>
      <c r="W139" s="27">
        <v>500</v>
      </c>
      <c r="X139" s="27" t="s">
        <v>56</v>
      </c>
      <c r="Y139" s="20"/>
      <c r="AC139" s="104"/>
    </row>
    <row r="140" spans="1:29" ht="43.5" x14ac:dyDescent="0.35">
      <c r="A140" s="9"/>
      <c r="B140" s="60" t="s">
        <v>144</v>
      </c>
      <c r="C140" s="60" t="s">
        <v>144</v>
      </c>
      <c r="D140" s="20">
        <v>0.1</v>
      </c>
      <c r="E140" s="10" t="s">
        <v>53</v>
      </c>
      <c r="F140" s="59"/>
      <c r="G140" s="20">
        <f t="shared" si="35"/>
        <v>4.7</v>
      </c>
      <c r="H140" s="20">
        <f t="shared" si="36"/>
        <v>0.71890000000000009</v>
      </c>
      <c r="I140" s="23">
        <f t="shared" si="37"/>
        <v>0</v>
      </c>
      <c r="J140" s="27">
        <f t="shared" si="38"/>
        <v>5.4189000000000007</v>
      </c>
      <c r="K140" s="27"/>
      <c r="L140" s="23"/>
      <c r="M140" s="27">
        <f t="shared" si="39"/>
        <v>5.4189000000000007</v>
      </c>
      <c r="N140" s="66"/>
      <c r="O140" s="27" t="s">
        <v>79</v>
      </c>
      <c r="P140" s="27" t="s">
        <v>178</v>
      </c>
      <c r="Q140" s="27" t="s">
        <v>53</v>
      </c>
      <c r="R140" s="18">
        <f>0.047*W140</f>
        <v>47</v>
      </c>
      <c r="S140" s="22">
        <f>S139</f>
        <v>7.1890000000000009</v>
      </c>
      <c r="T140" s="23">
        <v>1</v>
      </c>
      <c r="U140" s="23"/>
      <c r="V140" s="23"/>
      <c r="W140" s="27">
        <v>1000</v>
      </c>
      <c r="X140" s="20" t="s">
        <v>56</v>
      </c>
      <c r="Y140" s="20"/>
      <c r="AC140" s="41" t="s">
        <v>201</v>
      </c>
    </row>
    <row r="141" spans="1:29" x14ac:dyDescent="0.35">
      <c r="A141" s="9"/>
      <c r="B141" s="103" t="s">
        <v>116</v>
      </c>
      <c r="C141" s="62" t="s">
        <v>145</v>
      </c>
      <c r="D141" s="20">
        <v>0.1</v>
      </c>
      <c r="E141" s="10" t="s">
        <v>47</v>
      </c>
      <c r="F141" s="59"/>
      <c r="G141" s="20">
        <f t="shared" si="35"/>
        <v>0.128</v>
      </c>
      <c r="H141" s="24">
        <f t="shared" si="36"/>
        <v>3.4500000000000004E-3</v>
      </c>
      <c r="I141" s="23">
        <f t="shared" si="37"/>
        <v>9.2015000000000083E-3</v>
      </c>
      <c r="J141" s="20">
        <f t="shared" si="38"/>
        <v>0.14065150000000001</v>
      </c>
      <c r="K141" s="27"/>
      <c r="L141" s="23"/>
      <c r="M141" s="20">
        <f t="shared" si="39"/>
        <v>0.14065150000000001</v>
      </c>
      <c r="N141" s="66"/>
      <c r="O141" s="7" t="s">
        <v>32</v>
      </c>
      <c r="P141" s="27" t="s">
        <v>99</v>
      </c>
      <c r="Q141" s="27" t="s">
        <v>45</v>
      </c>
      <c r="R141" s="23">
        <v>1.28</v>
      </c>
      <c r="S141" s="26">
        <v>3.4500000000000003E-2</v>
      </c>
      <c r="T141" s="23">
        <v>1.07</v>
      </c>
      <c r="U141" s="27"/>
      <c r="V141" s="27"/>
      <c r="W141" s="20">
        <v>6.8</v>
      </c>
      <c r="X141" s="27" t="s">
        <v>63</v>
      </c>
      <c r="Y141" s="20"/>
      <c r="AC141" s="103" t="s">
        <v>188</v>
      </c>
    </row>
    <row r="142" spans="1:29" ht="45.65" customHeight="1" x14ac:dyDescent="0.35">
      <c r="A142" s="9"/>
      <c r="B142" s="111"/>
      <c r="C142" s="7" t="s">
        <v>92</v>
      </c>
      <c r="D142" s="23">
        <v>0.02</v>
      </c>
      <c r="E142" s="38" t="s">
        <v>53</v>
      </c>
      <c r="F142" s="59"/>
      <c r="G142" s="20">
        <f t="shared" si="35"/>
        <v>8.7200000000000014E-2</v>
      </c>
      <c r="H142" s="20">
        <f t="shared" si="36"/>
        <v>0.109</v>
      </c>
      <c r="I142" s="23">
        <f t="shared" si="37"/>
        <v>1.9620000000000019E-2</v>
      </c>
      <c r="J142" s="20">
        <f t="shared" si="38"/>
        <v>0.21582000000000004</v>
      </c>
      <c r="K142" s="23">
        <f>D142*U142</f>
        <v>3.2000000000000001E-2</v>
      </c>
      <c r="L142" s="23"/>
      <c r="M142" s="20">
        <f t="shared" si="39"/>
        <v>0.24782000000000004</v>
      </c>
      <c r="N142" s="66"/>
      <c r="O142" s="17" t="s">
        <v>164</v>
      </c>
      <c r="P142" s="17" t="s">
        <v>57</v>
      </c>
      <c r="Q142" s="20" t="s">
        <v>53</v>
      </c>
      <c r="R142" s="19">
        <v>4.3600000000000003</v>
      </c>
      <c r="S142" s="23">
        <v>5.45</v>
      </c>
      <c r="T142" s="25">
        <v>1.1000000000000001</v>
      </c>
      <c r="U142" s="25">
        <f>1.44+0.16</f>
        <v>1.5999999999999999</v>
      </c>
      <c r="V142" s="25"/>
      <c r="W142" s="22">
        <v>1600</v>
      </c>
      <c r="X142" s="22" t="s">
        <v>56</v>
      </c>
      <c r="Y142" s="20"/>
      <c r="AC142" s="111"/>
    </row>
    <row r="143" spans="1:29" ht="29" x14ac:dyDescent="0.35">
      <c r="A143" s="9"/>
      <c r="B143" s="12" t="s">
        <v>136</v>
      </c>
      <c r="C143" s="60" t="s">
        <v>146</v>
      </c>
      <c r="D143" s="26">
        <v>1E-4</v>
      </c>
      <c r="E143" s="10" t="s">
        <v>53</v>
      </c>
      <c r="F143" s="59"/>
      <c r="G143" s="20">
        <f t="shared" si="35"/>
        <v>2.03315</v>
      </c>
      <c r="H143" s="20">
        <f t="shared" si="36"/>
        <v>6.2407500000000005E-2</v>
      </c>
      <c r="I143" s="20">
        <f t="shared" si="37"/>
        <v>0.10477787500000009</v>
      </c>
      <c r="J143" s="20">
        <f t="shared" si="38"/>
        <v>2.2003353749999999</v>
      </c>
      <c r="K143" s="27"/>
      <c r="L143" s="23"/>
      <c r="M143" s="20">
        <f t="shared" si="39"/>
        <v>2.2003353749999999</v>
      </c>
      <c r="N143" s="66"/>
      <c r="O143" s="27" t="s">
        <v>32</v>
      </c>
      <c r="P143" s="27" t="s">
        <v>100</v>
      </c>
      <c r="Q143" s="27" t="s">
        <v>53</v>
      </c>
      <c r="R143" s="27">
        <f>2.59*W143</f>
        <v>20331.5</v>
      </c>
      <c r="S143" s="27">
        <f>0.0795*W143</f>
        <v>624.07500000000005</v>
      </c>
      <c r="T143" s="23">
        <v>1.05</v>
      </c>
      <c r="U143" s="27"/>
      <c r="V143" s="27"/>
      <c r="W143" s="27">
        <v>7850</v>
      </c>
      <c r="X143" s="27" t="s">
        <v>56</v>
      </c>
      <c r="Y143" s="20"/>
      <c r="AC143" s="12" t="s">
        <v>197</v>
      </c>
    </row>
    <row r="144" spans="1:29" x14ac:dyDescent="0.35">
      <c r="A144" s="9"/>
      <c r="B144" s="45" t="s">
        <v>147</v>
      </c>
      <c r="C144" s="41" t="s">
        <v>148</v>
      </c>
      <c r="D144" s="20">
        <v>0.3</v>
      </c>
      <c r="E144" s="10" t="s">
        <v>47</v>
      </c>
      <c r="F144" s="59"/>
      <c r="G144" s="20">
        <f t="shared" si="35"/>
        <v>1.026</v>
      </c>
      <c r="H144" s="23">
        <f t="shared" si="36"/>
        <v>2.7E-2</v>
      </c>
      <c r="I144" s="23">
        <f t="shared" si="37"/>
        <v>0</v>
      </c>
      <c r="J144" s="20">
        <f t="shared" si="38"/>
        <v>1.0529999999999999</v>
      </c>
      <c r="K144" s="27"/>
      <c r="L144" s="23"/>
      <c r="M144" s="20">
        <f t="shared" si="39"/>
        <v>1.0529999999999999</v>
      </c>
      <c r="N144" s="66"/>
      <c r="O144" s="17" t="s">
        <v>55</v>
      </c>
      <c r="P144" s="27" t="s">
        <v>86</v>
      </c>
      <c r="Q144" s="27" t="s">
        <v>47</v>
      </c>
      <c r="R144" s="88">
        <v>3.42</v>
      </c>
      <c r="S144" s="23">
        <v>0.09</v>
      </c>
      <c r="T144" s="23">
        <v>1</v>
      </c>
      <c r="U144" s="23"/>
      <c r="V144" s="23"/>
      <c r="W144" s="20">
        <v>1.8</v>
      </c>
      <c r="X144" s="20" t="s">
        <v>63</v>
      </c>
      <c r="Y144" s="20"/>
      <c r="AC144" s="7" t="s">
        <v>202</v>
      </c>
    </row>
    <row r="145" spans="1:29" x14ac:dyDescent="0.35">
      <c r="A145" s="9"/>
      <c r="B145" s="61" t="s">
        <v>117</v>
      </c>
      <c r="C145" s="41" t="s">
        <v>118</v>
      </c>
      <c r="D145" s="20">
        <v>0.1</v>
      </c>
      <c r="E145" s="10" t="s">
        <v>47</v>
      </c>
      <c r="F145" s="59"/>
      <c r="G145" s="20">
        <f t="shared" si="35"/>
        <v>7.5000000000000011E-2</v>
      </c>
      <c r="H145" s="24">
        <f t="shared" si="36"/>
        <v>2E-3</v>
      </c>
      <c r="I145" s="23">
        <f t="shared" si="37"/>
        <v>1.5399999999999999E-2</v>
      </c>
      <c r="J145" s="20">
        <f t="shared" si="38"/>
        <v>9.240000000000001E-2</v>
      </c>
      <c r="K145" s="27"/>
      <c r="L145" s="23"/>
      <c r="M145" s="20">
        <f t="shared" si="39"/>
        <v>9.240000000000001E-2</v>
      </c>
      <c r="N145" s="66"/>
      <c r="O145" s="17" t="s">
        <v>164</v>
      </c>
      <c r="P145" s="17" t="s">
        <v>52</v>
      </c>
      <c r="Q145" s="20" t="s">
        <v>47</v>
      </c>
      <c r="R145" s="18">
        <v>0.75</v>
      </c>
      <c r="S145" s="23">
        <v>0.02</v>
      </c>
      <c r="T145" s="25">
        <v>1.2</v>
      </c>
      <c r="U145" s="23"/>
      <c r="V145" s="23"/>
      <c r="W145" s="24">
        <v>0.24299999999999999</v>
      </c>
      <c r="X145" s="20" t="s">
        <v>63</v>
      </c>
      <c r="Y145" s="20"/>
      <c r="AC145" s="7" t="s">
        <v>189</v>
      </c>
    </row>
    <row r="146" spans="1:29" x14ac:dyDescent="0.35">
      <c r="A146" s="9"/>
      <c r="B146" s="45" t="s">
        <v>114</v>
      </c>
      <c r="C146" s="41" t="s">
        <v>115</v>
      </c>
      <c r="D146" s="20">
        <v>0.1</v>
      </c>
      <c r="E146" s="10" t="s">
        <v>53</v>
      </c>
      <c r="F146" s="59"/>
      <c r="G146" s="20"/>
      <c r="H146" s="20"/>
      <c r="I146" s="20"/>
      <c r="J146" s="20"/>
      <c r="K146" s="20">
        <f>D146*U146</f>
        <v>0.14399999999999999</v>
      </c>
      <c r="L146" s="23">
        <f t="shared" ref="L146" si="40">D146*V146</f>
        <v>0.54500000000000004</v>
      </c>
      <c r="M146" s="20">
        <f t="shared" si="39"/>
        <v>0.68900000000000006</v>
      </c>
      <c r="N146" s="66"/>
      <c r="O146" s="17" t="s">
        <v>164</v>
      </c>
      <c r="P146" s="17" t="s">
        <v>59</v>
      </c>
      <c r="Q146" s="17" t="s">
        <v>53</v>
      </c>
      <c r="R146" s="16"/>
      <c r="S146" s="23"/>
      <c r="T146" s="17"/>
      <c r="U146" s="23">
        <v>1.44</v>
      </c>
      <c r="V146" s="23">
        <v>5.45</v>
      </c>
      <c r="W146" s="20"/>
      <c r="X146" s="20"/>
      <c r="Y146" s="20"/>
      <c r="AC146" s="7" t="s">
        <v>187</v>
      </c>
    </row>
    <row r="147" spans="1:29" ht="29" x14ac:dyDescent="0.35">
      <c r="A147" s="9"/>
      <c r="B147" s="100" t="s">
        <v>90</v>
      </c>
      <c r="C147" s="126" t="s">
        <v>16</v>
      </c>
      <c r="D147" s="121">
        <v>0.1</v>
      </c>
      <c r="E147" s="123" t="s">
        <v>23</v>
      </c>
      <c r="F147" s="59"/>
      <c r="G147" s="99"/>
      <c r="H147" s="99"/>
      <c r="I147" s="99"/>
      <c r="J147" s="99"/>
      <c r="K147" s="99">
        <f>D147*U147</f>
        <v>2.5253619999999999</v>
      </c>
      <c r="L147" s="99"/>
      <c r="M147" s="99">
        <f>SUM(J147:L147)</f>
        <v>2.5253619999999999</v>
      </c>
      <c r="N147" s="66"/>
      <c r="O147" s="17" t="s">
        <v>22</v>
      </c>
      <c r="P147" s="17" t="s">
        <v>21</v>
      </c>
      <c r="Q147" s="17" t="s">
        <v>23</v>
      </c>
      <c r="R147" s="18"/>
      <c r="S147" s="17"/>
      <c r="T147" s="17"/>
      <c r="U147" s="23">
        <f>U148*W148*W147*Y147</f>
        <v>25.253619999999998</v>
      </c>
      <c r="V147" s="23"/>
      <c r="W147" s="27">
        <v>14</v>
      </c>
      <c r="X147" s="20" t="s">
        <v>33</v>
      </c>
      <c r="Y147" s="20">
        <v>0.7</v>
      </c>
      <c r="AC147" s="100"/>
    </row>
    <row r="148" spans="1:29" x14ac:dyDescent="0.35">
      <c r="A148" s="9"/>
      <c r="B148" s="100"/>
      <c r="C148" s="127"/>
      <c r="D148" s="122"/>
      <c r="E148" s="124"/>
      <c r="F148" s="59"/>
      <c r="G148" s="99"/>
      <c r="H148" s="99"/>
      <c r="I148" s="99"/>
      <c r="J148" s="99"/>
      <c r="K148" s="99"/>
      <c r="L148" s="99"/>
      <c r="M148" s="99"/>
      <c r="N148" s="66"/>
      <c r="O148" s="17" t="s">
        <v>32</v>
      </c>
      <c r="P148" s="17" t="s">
        <v>38</v>
      </c>
      <c r="Q148" s="17" t="s">
        <v>34</v>
      </c>
      <c r="R148" s="16"/>
      <c r="S148" s="17"/>
      <c r="T148" s="17"/>
      <c r="U148" s="24">
        <v>7.2999999999999995E-2</v>
      </c>
      <c r="V148" s="24"/>
      <c r="W148" s="20">
        <v>35.299999999999997</v>
      </c>
      <c r="X148" s="20" t="s">
        <v>36</v>
      </c>
      <c r="Y148" s="22"/>
      <c r="AC148" s="100"/>
    </row>
    <row r="149" spans="1:29" x14ac:dyDescent="0.35">
      <c r="A149" s="9"/>
      <c r="B149" s="1"/>
      <c r="C149" s="1"/>
      <c r="D149" s="1"/>
      <c r="E149" s="1"/>
      <c r="F149" s="1"/>
      <c r="G149" s="40">
        <f t="shared" ref="G149:L149" si="41">SUM(G138:G148)</f>
        <v>8.2263500000000001</v>
      </c>
      <c r="H149" s="39">
        <f t="shared" si="41"/>
        <v>1.0666475</v>
      </c>
      <c r="I149" s="39">
        <f t="shared" si="41"/>
        <v>0.16504387500000015</v>
      </c>
      <c r="J149" s="50">
        <f t="shared" si="41"/>
        <v>9.4580413749999988</v>
      </c>
      <c r="K149" s="39">
        <f t="shared" si="41"/>
        <v>2.701362</v>
      </c>
      <c r="L149" s="39">
        <f t="shared" si="41"/>
        <v>0.54500000000000004</v>
      </c>
      <c r="M149" s="50">
        <f>SUM(M138:M148)</f>
        <v>12.704403374999998</v>
      </c>
      <c r="N149" s="1"/>
      <c r="O149" s="1"/>
      <c r="P149" s="1"/>
      <c r="Q149" s="1"/>
      <c r="R149" s="1"/>
    </row>
    <row r="151" spans="1:29" x14ac:dyDescent="0.35">
      <c r="A151" s="11">
        <v>10</v>
      </c>
      <c r="B151" s="6" t="s">
        <v>209</v>
      </c>
      <c r="C151" s="35"/>
      <c r="D151" s="1"/>
      <c r="E151" s="1"/>
      <c r="F151" s="1"/>
      <c r="G151" s="115" t="s">
        <v>60</v>
      </c>
      <c r="H151" s="115"/>
      <c r="I151" s="115"/>
      <c r="J151" s="115"/>
      <c r="K151" s="115"/>
      <c r="L151" s="115"/>
      <c r="M151" s="47"/>
      <c r="N151" s="1"/>
      <c r="O151" s="114" t="s">
        <v>62</v>
      </c>
      <c r="P151" s="114"/>
      <c r="Q151" s="114"/>
      <c r="R151" s="114"/>
      <c r="S151" s="114"/>
      <c r="T151" s="114"/>
      <c r="U151" s="114"/>
      <c r="V151" s="114"/>
      <c r="W151" s="114"/>
      <c r="X151" s="114"/>
      <c r="Y151" s="114"/>
      <c r="AC151" s="35" t="s">
        <v>221</v>
      </c>
    </row>
    <row r="152" spans="1:29" ht="29" x14ac:dyDescent="0.35">
      <c r="B152" s="56" t="s">
        <v>111</v>
      </c>
      <c r="C152" s="15" t="s">
        <v>15</v>
      </c>
      <c r="D152" s="15" t="s">
        <v>208</v>
      </c>
      <c r="E152" s="15" t="s">
        <v>61</v>
      </c>
      <c r="F152" s="33"/>
      <c r="G152" s="13" t="s">
        <v>1</v>
      </c>
      <c r="H152" s="13" t="s">
        <v>2</v>
      </c>
      <c r="I152" s="14" t="s">
        <v>3</v>
      </c>
      <c r="J152" s="52" t="s">
        <v>20</v>
      </c>
      <c r="K152" s="14" t="s">
        <v>4</v>
      </c>
      <c r="L152" s="14" t="s">
        <v>40</v>
      </c>
      <c r="M152" s="52" t="s">
        <v>102</v>
      </c>
      <c r="N152" s="33"/>
      <c r="O152" s="13" t="s">
        <v>17</v>
      </c>
      <c r="P152" s="13" t="s">
        <v>18</v>
      </c>
      <c r="Q152" s="13" t="s">
        <v>61</v>
      </c>
      <c r="R152" s="13" t="s">
        <v>1</v>
      </c>
      <c r="S152" s="13" t="s">
        <v>2</v>
      </c>
      <c r="T152" s="13" t="s">
        <v>19</v>
      </c>
      <c r="U152" s="13" t="s">
        <v>4</v>
      </c>
      <c r="V152" s="13" t="s">
        <v>41</v>
      </c>
      <c r="W152" s="108" t="s">
        <v>156</v>
      </c>
      <c r="X152" s="108"/>
      <c r="Y152" s="14" t="s">
        <v>35</v>
      </c>
      <c r="AC152" s="14" t="s">
        <v>222</v>
      </c>
    </row>
    <row r="153" spans="1:29" ht="43.5" x14ac:dyDescent="0.35">
      <c r="A153" s="9"/>
      <c r="B153" s="45" t="s">
        <v>149</v>
      </c>
      <c r="C153" s="45" t="s">
        <v>149</v>
      </c>
      <c r="D153" s="20">
        <v>0.1</v>
      </c>
      <c r="E153" s="20" t="s">
        <v>45</v>
      </c>
      <c r="F153" s="29"/>
      <c r="G153" s="20">
        <f>D153*R153</f>
        <v>0.26600000000000001</v>
      </c>
      <c r="H153" s="23">
        <f>D153*S153</f>
        <v>7.9500000000000005E-3</v>
      </c>
      <c r="I153" s="20">
        <f t="shared" ref="I153:I158" si="42">(G153+H153)*(T153-1)</f>
        <v>0</v>
      </c>
      <c r="J153" s="20">
        <f t="shared" ref="J153" si="43">SUM(G153:I153)</f>
        <v>0.27395000000000003</v>
      </c>
      <c r="K153" s="27"/>
      <c r="L153" s="23"/>
      <c r="M153" s="20">
        <f>SUM(J153:L153)</f>
        <v>0.27395000000000003</v>
      </c>
      <c r="N153" s="29"/>
      <c r="O153" s="27" t="s">
        <v>32</v>
      </c>
      <c r="P153" s="27" t="s">
        <v>101</v>
      </c>
      <c r="Q153" s="27" t="s">
        <v>45</v>
      </c>
      <c r="R153" s="23">
        <v>2.66</v>
      </c>
      <c r="S153" s="26">
        <v>7.9500000000000001E-2</v>
      </c>
      <c r="T153" s="25">
        <v>1</v>
      </c>
      <c r="U153" s="27"/>
      <c r="V153" s="27"/>
      <c r="W153" s="27"/>
      <c r="X153" s="27"/>
      <c r="Y153" s="20"/>
      <c r="AC153" s="7" t="s">
        <v>203</v>
      </c>
    </row>
    <row r="154" spans="1:29" ht="43.5" x14ac:dyDescent="0.35">
      <c r="A154" s="9"/>
      <c r="B154" s="45" t="s">
        <v>151</v>
      </c>
      <c r="C154" s="63" t="s">
        <v>150</v>
      </c>
      <c r="D154" s="20">
        <v>0.1</v>
      </c>
      <c r="E154" s="22" t="s">
        <v>45</v>
      </c>
      <c r="F154" s="29"/>
      <c r="G154" s="20">
        <f>D154*R154</f>
        <v>0.26600000000000001</v>
      </c>
      <c r="H154" s="23">
        <f>D154*S154</f>
        <v>7.9500000000000005E-3</v>
      </c>
      <c r="I154" s="20">
        <f t="shared" si="42"/>
        <v>0</v>
      </c>
      <c r="J154" s="20">
        <f t="shared" ref="J154" si="44">SUM(G154:I154)</f>
        <v>0.27395000000000003</v>
      </c>
      <c r="K154" s="27"/>
      <c r="L154" s="23"/>
      <c r="M154" s="20">
        <f t="shared" ref="M154:M156" si="45">SUM(J154:L154)</f>
        <v>0.27395000000000003</v>
      </c>
      <c r="N154" s="29"/>
      <c r="O154" s="27" t="s">
        <v>32</v>
      </c>
      <c r="P154" s="27" t="s">
        <v>101</v>
      </c>
      <c r="Q154" s="27" t="s">
        <v>45</v>
      </c>
      <c r="R154" s="23">
        <v>2.66</v>
      </c>
      <c r="S154" s="26">
        <v>7.9500000000000001E-2</v>
      </c>
      <c r="T154" s="25">
        <v>1</v>
      </c>
      <c r="U154" s="27"/>
      <c r="V154" s="27"/>
      <c r="W154" s="27"/>
      <c r="X154" s="27"/>
      <c r="Y154" s="20"/>
      <c r="AC154" s="7" t="s">
        <v>204</v>
      </c>
    </row>
    <row r="155" spans="1:29" ht="43.5" x14ac:dyDescent="0.35">
      <c r="A155" s="9"/>
      <c r="B155" s="45" t="s">
        <v>152</v>
      </c>
      <c r="C155" s="63" t="s">
        <v>13</v>
      </c>
      <c r="D155" s="20">
        <v>0.1</v>
      </c>
      <c r="E155" s="22" t="s">
        <v>45</v>
      </c>
      <c r="F155" s="29"/>
      <c r="G155" s="20">
        <f>D155*R155</f>
        <v>0.26600000000000001</v>
      </c>
      <c r="H155" s="23">
        <f>D155*S155</f>
        <v>7.9500000000000005E-3</v>
      </c>
      <c r="I155" s="20">
        <f t="shared" si="42"/>
        <v>0</v>
      </c>
      <c r="J155" s="20">
        <f t="shared" ref="J155" si="46">SUM(G155:I155)</f>
        <v>0.27395000000000003</v>
      </c>
      <c r="K155" s="27"/>
      <c r="L155" s="23"/>
      <c r="M155" s="20">
        <f t="shared" si="45"/>
        <v>0.27395000000000003</v>
      </c>
      <c r="N155" s="29"/>
      <c r="O155" s="27" t="s">
        <v>32</v>
      </c>
      <c r="P155" s="27" t="s">
        <v>101</v>
      </c>
      <c r="Q155" s="27" t="s">
        <v>45</v>
      </c>
      <c r="R155" s="23">
        <v>2.66</v>
      </c>
      <c r="S155" s="26">
        <v>7.9500000000000001E-2</v>
      </c>
      <c r="T155" s="25">
        <v>1</v>
      </c>
      <c r="U155" s="27"/>
      <c r="V155" s="27"/>
      <c r="W155" s="27"/>
      <c r="X155" s="27"/>
      <c r="Y155" s="20"/>
      <c r="AC155" s="7" t="s">
        <v>205</v>
      </c>
    </row>
    <row r="156" spans="1:29" ht="43.5" x14ac:dyDescent="0.35">
      <c r="A156" s="9"/>
      <c r="B156" s="63" t="s">
        <v>154</v>
      </c>
      <c r="C156" s="63" t="s">
        <v>153</v>
      </c>
      <c r="D156" s="20">
        <v>0.1</v>
      </c>
      <c r="E156" s="22" t="s">
        <v>45</v>
      </c>
      <c r="F156" s="29"/>
      <c r="G156" s="20">
        <f>D156*R156</f>
        <v>0.26600000000000001</v>
      </c>
      <c r="H156" s="23">
        <f>D156*S156</f>
        <v>7.9500000000000005E-3</v>
      </c>
      <c r="I156" s="20">
        <f t="shared" si="42"/>
        <v>0</v>
      </c>
      <c r="J156" s="20">
        <f t="shared" ref="J156" si="47">SUM(G156:I156)</f>
        <v>0.27395000000000003</v>
      </c>
      <c r="K156" s="27"/>
      <c r="L156" s="23"/>
      <c r="M156" s="20">
        <f t="shared" si="45"/>
        <v>0.27395000000000003</v>
      </c>
      <c r="N156" s="29"/>
      <c r="O156" s="27" t="s">
        <v>32</v>
      </c>
      <c r="P156" s="27" t="s">
        <v>101</v>
      </c>
      <c r="Q156" s="27" t="s">
        <v>45</v>
      </c>
      <c r="R156" s="23">
        <v>2.66</v>
      </c>
      <c r="S156" s="26">
        <v>7.9500000000000001E-2</v>
      </c>
      <c r="T156" s="25">
        <v>1</v>
      </c>
      <c r="U156" s="27"/>
      <c r="V156" s="27"/>
      <c r="W156" s="27"/>
      <c r="X156" s="27"/>
      <c r="Y156" s="20"/>
      <c r="AC156" s="27" t="s">
        <v>206</v>
      </c>
    </row>
    <row r="157" spans="1:29" ht="29" x14ac:dyDescent="0.35">
      <c r="A157" s="9"/>
      <c r="B157" s="63" t="s">
        <v>155</v>
      </c>
      <c r="C157" s="7" t="s">
        <v>94</v>
      </c>
      <c r="D157" s="26">
        <v>5.0000000000000001E-4</v>
      </c>
      <c r="E157" s="27" t="s">
        <v>53</v>
      </c>
      <c r="F157" s="29"/>
      <c r="G157" s="20">
        <f>R157*D157</f>
        <v>0.23760000000000003</v>
      </c>
      <c r="H157" s="20">
        <f>S157*D157</f>
        <v>5.3999999999999999E-2</v>
      </c>
      <c r="I157" s="20">
        <f t="shared" si="42"/>
        <v>0</v>
      </c>
      <c r="J157" s="20">
        <f t="shared" ref="J157" si="48">SUM(G157:I157)</f>
        <v>0.29160000000000003</v>
      </c>
      <c r="K157" s="23"/>
      <c r="L157" s="27"/>
      <c r="M157" s="20">
        <f t="shared" ref="M157" si="49">SUM(J157:L157)</f>
        <v>0.29160000000000003</v>
      </c>
      <c r="N157" s="29"/>
      <c r="O157" s="27" t="s">
        <v>32</v>
      </c>
      <c r="P157" s="27" t="s">
        <v>87</v>
      </c>
      <c r="Q157" s="27" t="s">
        <v>53</v>
      </c>
      <c r="R157" s="23">
        <f>0.198*W157</f>
        <v>475.20000000000005</v>
      </c>
      <c r="S157" s="27">
        <f>0.045*W157</f>
        <v>108</v>
      </c>
      <c r="T157" s="23">
        <v>1</v>
      </c>
      <c r="U157" s="23"/>
      <c r="V157" s="23"/>
      <c r="W157" s="27">
        <v>2400</v>
      </c>
      <c r="X157" s="20" t="s">
        <v>56</v>
      </c>
      <c r="Y157" s="20"/>
      <c r="AC157" s="27" t="s">
        <v>190</v>
      </c>
    </row>
    <row r="158" spans="1:29" ht="29" x14ac:dyDescent="0.35">
      <c r="A158" s="9"/>
      <c r="B158" s="7" t="s">
        <v>126</v>
      </c>
      <c r="C158" s="37" t="s">
        <v>92</v>
      </c>
      <c r="D158" s="23">
        <v>0.01</v>
      </c>
      <c r="E158" s="20" t="s">
        <v>53</v>
      </c>
      <c r="F158" s="29"/>
      <c r="G158" s="23">
        <f>R158*D158</f>
        <v>4.3600000000000007E-2</v>
      </c>
      <c r="H158" s="23">
        <f>S158*D158</f>
        <v>5.45E-2</v>
      </c>
      <c r="I158" s="23">
        <f t="shared" si="42"/>
        <v>9.8100000000000097E-3</v>
      </c>
      <c r="J158" s="20">
        <f t="shared" ref="J158" si="50">SUM(G158:I158)</f>
        <v>0.10791000000000002</v>
      </c>
      <c r="K158" s="23">
        <f>U158*D158</f>
        <v>1.6E-2</v>
      </c>
      <c r="L158" s="27"/>
      <c r="M158" s="20">
        <f t="shared" ref="M158" si="51">SUM(J158:L158)</f>
        <v>0.12391000000000002</v>
      </c>
      <c r="N158" s="29"/>
      <c r="O158" s="17" t="s">
        <v>164</v>
      </c>
      <c r="P158" s="17" t="s">
        <v>57</v>
      </c>
      <c r="Q158" s="20" t="s">
        <v>53</v>
      </c>
      <c r="R158" s="19">
        <v>4.3600000000000003</v>
      </c>
      <c r="S158" s="23">
        <v>5.45</v>
      </c>
      <c r="T158" s="25">
        <v>1.1000000000000001</v>
      </c>
      <c r="U158" s="25">
        <f>1.44+0.16</f>
        <v>1.5999999999999999</v>
      </c>
      <c r="V158" s="25"/>
      <c r="W158" s="22">
        <v>1600</v>
      </c>
      <c r="X158" s="22" t="s">
        <v>56</v>
      </c>
      <c r="Y158" s="20"/>
      <c r="AC158" s="7" t="s">
        <v>194</v>
      </c>
    </row>
    <row r="159" spans="1:29" ht="29" x14ac:dyDescent="0.35">
      <c r="A159" s="9"/>
      <c r="B159" s="100" t="s">
        <v>90</v>
      </c>
      <c r="C159" s="116" t="s">
        <v>16</v>
      </c>
      <c r="D159" s="110">
        <v>0.02</v>
      </c>
      <c r="E159" s="118" t="s">
        <v>23</v>
      </c>
      <c r="F159" s="29"/>
      <c r="G159" s="99"/>
      <c r="H159" s="99"/>
      <c r="I159" s="99"/>
      <c r="J159" s="99"/>
      <c r="K159" s="99">
        <f>U159*D159</f>
        <v>0.50507239999999998</v>
      </c>
      <c r="L159" s="99"/>
      <c r="M159" s="99">
        <f>SUM(J159:L159)</f>
        <v>0.50507239999999998</v>
      </c>
      <c r="N159" s="29"/>
      <c r="O159" s="17" t="s">
        <v>22</v>
      </c>
      <c r="P159" s="17" t="s">
        <v>21</v>
      </c>
      <c r="Q159" s="17" t="s">
        <v>23</v>
      </c>
      <c r="R159" s="18"/>
      <c r="S159" s="17"/>
      <c r="T159" s="17"/>
      <c r="U159" s="23">
        <f>U160*W160*W159*Y159</f>
        <v>25.253619999999998</v>
      </c>
      <c r="V159" s="23"/>
      <c r="W159" s="27">
        <v>14</v>
      </c>
      <c r="X159" s="20" t="s">
        <v>33</v>
      </c>
      <c r="Y159" s="20">
        <v>0.7</v>
      </c>
      <c r="AC159" s="100"/>
    </row>
    <row r="160" spans="1:29" x14ac:dyDescent="0.35">
      <c r="A160" s="9"/>
      <c r="B160" s="100"/>
      <c r="C160" s="116"/>
      <c r="D160" s="110"/>
      <c r="E160" s="118"/>
      <c r="F160" s="29"/>
      <c r="G160" s="99"/>
      <c r="H160" s="99"/>
      <c r="I160" s="99"/>
      <c r="J160" s="99"/>
      <c r="K160" s="99"/>
      <c r="L160" s="99"/>
      <c r="M160" s="99"/>
      <c r="N160" s="29"/>
      <c r="O160" s="17" t="s">
        <v>32</v>
      </c>
      <c r="P160" s="17" t="s">
        <v>38</v>
      </c>
      <c r="Q160" s="17" t="s">
        <v>34</v>
      </c>
      <c r="R160" s="16"/>
      <c r="S160" s="17"/>
      <c r="T160" s="17"/>
      <c r="U160" s="24">
        <v>7.2999999999999995E-2</v>
      </c>
      <c r="V160" s="24"/>
      <c r="W160" s="20">
        <v>35.299999999999997</v>
      </c>
      <c r="X160" s="20" t="s">
        <v>36</v>
      </c>
      <c r="Y160" s="22"/>
      <c r="AC160" s="100"/>
    </row>
    <row r="161" spans="1:18" x14ac:dyDescent="0.35">
      <c r="A161" s="9"/>
      <c r="B161" s="1"/>
      <c r="C161" s="1"/>
      <c r="D161" s="1"/>
      <c r="E161" s="1"/>
      <c r="F161" s="29"/>
      <c r="G161" s="39">
        <f t="shared" ref="G161:L161" si="52">SUM(G153:G160)</f>
        <v>1.3452000000000002</v>
      </c>
      <c r="H161" s="39">
        <f t="shared" si="52"/>
        <v>0.14030000000000001</v>
      </c>
      <c r="I161" s="89">
        <f t="shared" si="52"/>
        <v>9.8100000000000097E-3</v>
      </c>
      <c r="J161" s="51">
        <f t="shared" si="52"/>
        <v>1.4953100000000001</v>
      </c>
      <c r="K161" s="39">
        <f t="shared" si="52"/>
        <v>0.52107239999999999</v>
      </c>
      <c r="L161" s="40">
        <f t="shared" si="52"/>
        <v>0</v>
      </c>
      <c r="M161" s="51">
        <f>SUM(M153:M160)</f>
        <v>2.0163824000000004</v>
      </c>
      <c r="N161" s="29"/>
      <c r="O161" s="1"/>
      <c r="P161" s="1"/>
      <c r="Q161" s="1"/>
      <c r="R161" s="1"/>
    </row>
    <row r="164" spans="1:18" x14ac:dyDescent="0.35">
      <c r="O164" s="1"/>
      <c r="P164" s="1"/>
      <c r="Q164" s="1"/>
      <c r="R164" s="1"/>
    </row>
    <row r="165" spans="1:18" x14ac:dyDescent="0.35">
      <c r="O165" s="1"/>
      <c r="P165" s="1"/>
      <c r="Q165" s="1"/>
      <c r="R165" s="1"/>
    </row>
    <row r="166" spans="1:18" x14ac:dyDescent="0.35">
      <c r="O166" s="1"/>
      <c r="P166" s="1"/>
      <c r="Q166" s="1"/>
      <c r="R166" s="1"/>
    </row>
    <row r="167" spans="1:18" x14ac:dyDescent="0.35">
      <c r="O167" s="1"/>
      <c r="P167" s="1"/>
      <c r="Q167" s="1"/>
      <c r="R167" s="1"/>
    </row>
    <row r="168" spans="1:18" x14ac:dyDescent="0.35">
      <c r="O168" s="1"/>
      <c r="P168" s="1"/>
      <c r="Q168" s="1"/>
      <c r="R168" s="1"/>
    </row>
    <row r="169" spans="1:18" x14ac:dyDescent="0.35">
      <c r="O169" s="1"/>
      <c r="P169" s="1"/>
      <c r="Q169" s="1"/>
      <c r="R169" s="1"/>
    </row>
  </sheetData>
  <mergeCells count="250">
    <mergeCell ref="B72:B75"/>
    <mergeCell ref="W119:X119"/>
    <mergeCell ref="B111:B112"/>
    <mergeCell ref="C114:C115"/>
    <mergeCell ref="C159:C160"/>
    <mergeCell ref="D159:D160"/>
    <mergeCell ref="E159:E160"/>
    <mergeCell ref="M159:M160"/>
    <mergeCell ref="I159:I160"/>
    <mergeCell ref="J159:J160"/>
    <mergeCell ref="G159:G160"/>
    <mergeCell ref="H159:H160"/>
    <mergeCell ref="K159:K160"/>
    <mergeCell ref="L159:L160"/>
    <mergeCell ref="M147:M148"/>
    <mergeCell ref="B141:B142"/>
    <mergeCell ref="O151:Y151"/>
    <mergeCell ref="G151:L151"/>
    <mergeCell ref="W152:X152"/>
    <mergeCell ref="G136:L136"/>
    <mergeCell ref="G147:G148"/>
    <mergeCell ref="H147:H148"/>
    <mergeCell ref="I147:I148"/>
    <mergeCell ref="J147:J148"/>
    <mergeCell ref="C147:C148"/>
    <mergeCell ref="D147:D148"/>
    <mergeCell ref="E147:E148"/>
    <mergeCell ref="B77:B78"/>
    <mergeCell ref="B93:B98"/>
    <mergeCell ref="B106:B109"/>
    <mergeCell ref="B79:B80"/>
    <mergeCell ref="G118:L118"/>
    <mergeCell ref="B120:B123"/>
    <mergeCell ref="K147:K148"/>
    <mergeCell ref="B132:B133"/>
    <mergeCell ref="C132:C133"/>
    <mergeCell ref="D132:D133"/>
    <mergeCell ref="E132:E133"/>
    <mergeCell ref="G132:G133"/>
    <mergeCell ref="H132:H133"/>
    <mergeCell ref="I132:I133"/>
    <mergeCell ref="J132:J133"/>
    <mergeCell ref="K132:K133"/>
    <mergeCell ref="L132:L133"/>
    <mergeCell ref="G84:L84"/>
    <mergeCell ref="O104:Y104"/>
    <mergeCell ref="G104:L104"/>
    <mergeCell ref="G91:L91"/>
    <mergeCell ref="O91:Y91"/>
    <mergeCell ref="W71:X71"/>
    <mergeCell ref="O70:Y70"/>
    <mergeCell ref="M65:M66"/>
    <mergeCell ref="O84:Y84"/>
    <mergeCell ref="L147:L148"/>
    <mergeCell ref="O118:Y118"/>
    <mergeCell ref="G114:G115"/>
    <mergeCell ref="H114:H115"/>
    <mergeCell ref="I114:I115"/>
    <mergeCell ref="J114:J115"/>
    <mergeCell ref="K114:K115"/>
    <mergeCell ref="L114:L115"/>
    <mergeCell ref="D114:D115"/>
    <mergeCell ref="E114:E115"/>
    <mergeCell ref="M114:M115"/>
    <mergeCell ref="B43:B46"/>
    <mergeCell ref="C45:C46"/>
    <mergeCell ref="G45:G46"/>
    <mergeCell ref="H45:H46"/>
    <mergeCell ref="I45:I46"/>
    <mergeCell ref="J45:J46"/>
    <mergeCell ref="C43:C44"/>
    <mergeCell ref="G43:G44"/>
    <mergeCell ref="H43:H44"/>
    <mergeCell ref="I43:I44"/>
    <mergeCell ref="J43:J44"/>
    <mergeCell ref="B61:B63"/>
    <mergeCell ref="B64:B66"/>
    <mergeCell ref="G59:L59"/>
    <mergeCell ref="G65:G66"/>
    <mergeCell ref="B51:B52"/>
    <mergeCell ref="B53:B56"/>
    <mergeCell ref="G55:G56"/>
    <mergeCell ref="K51:K52"/>
    <mergeCell ref="L51:L52"/>
    <mergeCell ref="J51:J52"/>
    <mergeCell ref="G51:G52"/>
    <mergeCell ref="C65:C66"/>
    <mergeCell ref="K65:K66"/>
    <mergeCell ref="J65:J66"/>
    <mergeCell ref="H65:H66"/>
    <mergeCell ref="I65:I66"/>
    <mergeCell ref="E55:E56"/>
    <mergeCell ref="C55:C56"/>
    <mergeCell ref="K53:K54"/>
    <mergeCell ref="L53:L54"/>
    <mergeCell ref="D55:D56"/>
    <mergeCell ref="H55:H56"/>
    <mergeCell ref="C39:C40"/>
    <mergeCell ref="G53:G54"/>
    <mergeCell ref="H53:H54"/>
    <mergeCell ref="E39:E40"/>
    <mergeCell ref="D39:D40"/>
    <mergeCell ref="L39:L40"/>
    <mergeCell ref="D53:D54"/>
    <mergeCell ref="E51:E52"/>
    <mergeCell ref="C51:C52"/>
    <mergeCell ref="I53:I54"/>
    <mergeCell ref="J53:J54"/>
    <mergeCell ref="D41:D42"/>
    <mergeCell ref="E41:E42"/>
    <mergeCell ref="E53:E54"/>
    <mergeCell ref="H51:H52"/>
    <mergeCell ref="I51:I52"/>
    <mergeCell ref="O25:Y25"/>
    <mergeCell ref="G25:L25"/>
    <mergeCell ref="K37:K38"/>
    <mergeCell ref="K41:K42"/>
    <mergeCell ref="G41:G42"/>
    <mergeCell ref="G30:G31"/>
    <mergeCell ref="G39:G40"/>
    <mergeCell ref="L41:L42"/>
    <mergeCell ref="H37:H38"/>
    <mergeCell ref="I37:I38"/>
    <mergeCell ref="J37:J38"/>
    <mergeCell ref="H39:H40"/>
    <mergeCell ref="I39:I40"/>
    <mergeCell ref="J39:J40"/>
    <mergeCell ref="L35:L36"/>
    <mergeCell ref="H41:H42"/>
    <mergeCell ref="K33:K34"/>
    <mergeCell ref="I41:I42"/>
    <mergeCell ref="J41:J42"/>
    <mergeCell ref="K39:K40"/>
    <mergeCell ref="H30:H31"/>
    <mergeCell ref="G28:G29"/>
    <mergeCell ref="W26:X26"/>
    <mergeCell ref="K28:K29"/>
    <mergeCell ref="B35:B38"/>
    <mergeCell ref="B32:B34"/>
    <mergeCell ref="C33:C34"/>
    <mergeCell ref="C37:C38"/>
    <mergeCell ref="B27:B31"/>
    <mergeCell ref="D51:D52"/>
    <mergeCell ref="H28:H29"/>
    <mergeCell ref="G37:G38"/>
    <mergeCell ref="C30:C31"/>
    <mergeCell ref="C35:C36"/>
    <mergeCell ref="C28:C29"/>
    <mergeCell ref="B39:B42"/>
    <mergeCell ref="D30:D31"/>
    <mergeCell ref="E30:E31"/>
    <mergeCell ref="D28:D29"/>
    <mergeCell ref="E28:E29"/>
    <mergeCell ref="D33:D34"/>
    <mergeCell ref="E33:E34"/>
    <mergeCell ref="D37:D38"/>
    <mergeCell ref="E37:E38"/>
    <mergeCell ref="E35:E36"/>
    <mergeCell ref="D43:D44"/>
    <mergeCell ref="E43:E44"/>
    <mergeCell ref="C41:C42"/>
    <mergeCell ref="B159:B160"/>
    <mergeCell ref="W137:X137"/>
    <mergeCell ref="O136:Y136"/>
    <mergeCell ref="G49:L49"/>
    <mergeCell ref="D45:D46"/>
    <mergeCell ref="E45:E46"/>
    <mergeCell ref="K45:K46"/>
    <mergeCell ref="B114:B115"/>
    <mergeCell ref="B124:B125"/>
    <mergeCell ref="J55:J56"/>
    <mergeCell ref="C53:C54"/>
    <mergeCell ref="B138:B139"/>
    <mergeCell ref="B147:B148"/>
    <mergeCell ref="B127:B128"/>
    <mergeCell ref="W60:X60"/>
    <mergeCell ref="O59:Y59"/>
    <mergeCell ref="I55:I56"/>
    <mergeCell ref="L65:L66"/>
    <mergeCell ref="G70:L70"/>
    <mergeCell ref="D65:D66"/>
    <mergeCell ref="E65:E66"/>
    <mergeCell ref="M51:M52"/>
    <mergeCell ref="M53:M54"/>
    <mergeCell ref="M55:M56"/>
    <mergeCell ref="G35:G36"/>
    <mergeCell ref="G33:G34"/>
    <mergeCell ref="H33:H34"/>
    <mergeCell ref="I28:I29"/>
    <mergeCell ref="L28:L29"/>
    <mergeCell ref="J35:J36"/>
    <mergeCell ref="K35:K36"/>
    <mergeCell ref="I30:I31"/>
    <mergeCell ref="J30:J31"/>
    <mergeCell ref="K30:K31"/>
    <mergeCell ref="L33:L34"/>
    <mergeCell ref="L30:L31"/>
    <mergeCell ref="H35:H36"/>
    <mergeCell ref="I35:I36"/>
    <mergeCell ref="I33:I34"/>
    <mergeCell ref="J33:J34"/>
    <mergeCell ref="J28:J29"/>
    <mergeCell ref="M37:M38"/>
    <mergeCell ref="M39:M40"/>
    <mergeCell ref="AC159:AC160"/>
    <mergeCell ref="AC127:AC128"/>
    <mergeCell ref="AC138:AC139"/>
    <mergeCell ref="AC141:AC142"/>
    <mergeCell ref="AC147:AC148"/>
    <mergeCell ref="AC124:AC125"/>
    <mergeCell ref="AC27:AC31"/>
    <mergeCell ref="AC32:AC34"/>
    <mergeCell ref="AC35:AC38"/>
    <mergeCell ref="AC39:AC42"/>
    <mergeCell ref="AC43:AC46"/>
    <mergeCell ref="AC93:AC98"/>
    <mergeCell ref="AC106:AC109"/>
    <mergeCell ref="AC111:AC112"/>
    <mergeCell ref="AC114:AC115"/>
    <mergeCell ref="M41:M42"/>
    <mergeCell ref="M43:M44"/>
    <mergeCell ref="M45:M46"/>
    <mergeCell ref="O49:Y49"/>
    <mergeCell ref="W105:X105"/>
    <mergeCell ref="W92:X92"/>
    <mergeCell ref="W85:X85"/>
    <mergeCell ref="M132:M133"/>
    <mergeCell ref="AC132:AC133"/>
    <mergeCell ref="B6:M9"/>
    <mergeCell ref="B10:M10"/>
    <mergeCell ref="AC120:AC123"/>
    <mergeCell ref="AC51:AC52"/>
    <mergeCell ref="AC53:AC56"/>
    <mergeCell ref="AC61:AC63"/>
    <mergeCell ref="AC64:AC66"/>
    <mergeCell ref="AC72:AC75"/>
    <mergeCell ref="AC77:AC78"/>
    <mergeCell ref="AC79:AC80"/>
    <mergeCell ref="W50:X50"/>
    <mergeCell ref="L55:L56"/>
    <mergeCell ref="K43:K44"/>
    <mergeCell ref="L43:L44"/>
    <mergeCell ref="L45:L46"/>
    <mergeCell ref="D35:D36"/>
    <mergeCell ref="L37:L38"/>
    <mergeCell ref="K55:K56"/>
    <mergeCell ref="M28:M29"/>
    <mergeCell ref="M30:M31"/>
    <mergeCell ref="M33:M34"/>
    <mergeCell ref="M35:M36"/>
  </mergeCells>
  <hyperlinks>
    <hyperlink ref="T7" r:id="rId1" xr:uid="{6D702EC3-09B8-4BB1-91C7-47481AEAB9C0}"/>
    <hyperlink ref="T9" r:id="rId2" xr:uid="{CFE2591C-C6D4-400D-BAAF-B8F1BCC1B897}"/>
    <hyperlink ref="T10" r:id="rId3" xr:uid="{5A12E642-C13C-49B2-A28F-2C44FE9384AD}"/>
    <hyperlink ref="T6" r:id="rId4" xr:uid="{AA3892AF-95B3-47F2-99F5-9E92CBE07C49}"/>
    <hyperlink ref="T8" r:id="rId5" xr:uid="{C6E960F0-AD3B-4970-B354-486BDFC5D273}"/>
  </hyperlinks>
  <pageMargins left="0.7" right="0.7" top="0.75" bottom="0.75" header="0.3" footer="0.3"/>
  <pageSetup paperSize="9" orientation="portrait" verticalDpi="0"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6506A9D4827245A82DF4793732C702" ma:contentTypeVersion="13" ma:contentTypeDescription="Create a new document." ma:contentTypeScope="" ma:versionID="f03d83e34d1128f5010ca02fc94bfef5">
  <xsd:schema xmlns:xsd="http://www.w3.org/2001/XMLSchema" xmlns:xs="http://www.w3.org/2001/XMLSchema" xmlns:p="http://schemas.microsoft.com/office/2006/metadata/properties" xmlns:ns2="accd0863-0a8e-4573-a635-c0a07dfb5600" xmlns:ns3="4a8cdf5c-2336-40d2-bcfc-c21ea7a8a7ed" targetNamespace="http://schemas.microsoft.com/office/2006/metadata/properties" ma:root="true" ma:fieldsID="9b44f067d3188a1d888a00da9342b425" ns2:_="" ns3:_="">
    <xsd:import namespace="accd0863-0a8e-4573-a635-c0a07dfb5600"/>
    <xsd:import namespace="4a8cdf5c-2336-40d2-bcfc-c21ea7a8a7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cd0863-0a8e-4573-a635-c0a07dfb56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46dfa3c-b651-4bbc-9963-d4a08547116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8cdf5c-2336-40d2-bcfc-c21ea7a8a7e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db1b293-0591-4e77-96cf-d7e394463aef}" ma:internalName="TaxCatchAll" ma:showField="CatchAllData" ma:web="4a8cdf5c-2336-40d2-bcfc-c21ea7a8a7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cd0863-0a8e-4573-a635-c0a07dfb5600">
      <Terms xmlns="http://schemas.microsoft.com/office/infopath/2007/PartnerControls"/>
    </lcf76f155ced4ddcb4097134ff3c332f>
    <TaxCatchAll xmlns="4a8cdf5c-2336-40d2-bcfc-c21ea7a8a7ed" xsi:nil="true"/>
  </documentManagement>
</p:properties>
</file>

<file path=customXml/itemProps1.xml><?xml version="1.0" encoding="utf-8"?>
<ds:datastoreItem xmlns:ds="http://schemas.openxmlformats.org/officeDocument/2006/customXml" ds:itemID="{F6090E3E-60E1-4DF3-A211-1A34ABB05009}"/>
</file>

<file path=customXml/itemProps2.xml><?xml version="1.0" encoding="utf-8"?>
<ds:datastoreItem xmlns:ds="http://schemas.openxmlformats.org/officeDocument/2006/customXml" ds:itemID="{1FFEF9E4-CF3D-4593-B064-3BDC3DD0A92D}"/>
</file>

<file path=customXml/itemProps3.xml><?xml version="1.0" encoding="utf-8"?>
<ds:datastoreItem xmlns:ds="http://schemas.openxmlformats.org/officeDocument/2006/customXml" ds:itemID="{217DA451-28F7-4401-94B5-41647BDEB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Schablonrecept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Lindeberg</dc:creator>
  <cp:lastModifiedBy>Anneli Kouthoofd</cp:lastModifiedBy>
  <dcterms:created xsi:type="dcterms:W3CDTF">2024-05-06T11:12:32Z</dcterms:created>
  <dcterms:modified xsi:type="dcterms:W3CDTF">2024-11-13T13:35:00Z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0x0101005A6506A9D4827245A82DF4793732C702</vt:lpwstr>
  </property>
</Properties>
</file>